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280c5b9081705d68/Documents/A - The Founders Junction/BP ^0 Pitch/BP/LATEST - With remuneration/"/>
    </mc:Choice>
  </mc:AlternateContent>
  <xr:revisionPtr revIDLastSave="2332" documentId="13_ncr:1_{8C3F10E5-9B19-423C-BAE7-BC2ED677B6F9}" xr6:coauthVersionLast="47" xr6:coauthVersionMax="47" xr10:uidLastSave="{73992DDF-F50E-448D-AA9A-C770352F9BB9}"/>
  <bookViews>
    <workbookView xWindow="-108" yWindow="-108" windowWidth="23256" windowHeight="12456" tabRatio="900" firstSheet="11" activeTab="20" xr2:uid="{00000000-000D-0000-FFFF-FFFF00000000}"/>
  </bookViews>
  <sheets>
    <sheet name="Founder expnt" sheetId="36" r:id="rId1"/>
    <sheet name="VAT 1st yr" sheetId="44" r:id="rId2"/>
    <sheet name="Computs fore costs" sheetId="42" r:id="rId3"/>
    <sheet name="Users 1st year" sheetId="37" r:id="rId4"/>
    <sheet name="Cash flow 1st yr" sheetId="26" r:id="rId5"/>
    <sheet name="Cash flow 5yrs" sheetId="30" r:id="rId6"/>
    <sheet name="Sales 1st yr" sheetId="23" r:id="rId7"/>
    <sheet name="Sales 5yrs" sheetId="25" r:id="rId8"/>
    <sheet name="P&amp;L" sheetId="31" r:id="rId9"/>
    <sheet name="Users next years" sheetId="43" r:id="rId10"/>
    <sheet name="Expenses 1st yr" sheetId="39" r:id="rId11"/>
    <sheet name="Ask" sheetId="48" r:id="rId12"/>
    <sheet name="Expenses 5yrs" sheetId="3" r:id="rId13"/>
    <sheet name="Computs" sheetId="40" r:id="rId14"/>
    <sheet name="Bal Sheet" sheetId="33" r:id="rId15"/>
    <sheet name="Invests" sheetId="2" r:id="rId16"/>
    <sheet name="Amort&amp;depr" sheetId="32" r:id="rId17"/>
    <sheet name="VAT next yrs" sheetId="45" r:id="rId18"/>
    <sheet name="Break-even" sheetId="38" r:id="rId19"/>
    <sheet name="Custmr metrics" sheetId="46" r:id="rId20"/>
    <sheet name="For pitch deck" sheetId="47" r:id="rId21"/>
    <sheet name="Ratios" sheetId="34" r:id="rId22"/>
    <sheet name="Valuation" sheetId="41"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 i="47" l="1"/>
  <c r="E30" i="47"/>
  <c r="D30" i="47"/>
  <c r="C30" i="47"/>
  <c r="B30" i="47"/>
  <c r="F29" i="47"/>
  <c r="E29" i="47"/>
  <c r="D29" i="47"/>
  <c r="C29" i="47"/>
  <c r="B29" i="47"/>
  <c r="F28" i="47"/>
  <c r="E28" i="47"/>
  <c r="D28" i="47"/>
  <c r="C28" i="47"/>
  <c r="B28" i="47"/>
  <c r="F26" i="47"/>
  <c r="E26" i="47"/>
  <c r="D26" i="47"/>
  <c r="C26" i="47"/>
  <c r="B26" i="47"/>
  <c r="F25" i="47"/>
  <c r="E25" i="47"/>
  <c r="D25" i="47"/>
  <c r="C25" i="47"/>
  <c r="B25" i="47"/>
  <c r="F24" i="47"/>
  <c r="E24" i="47"/>
  <c r="D24" i="47"/>
  <c r="C24" i="47"/>
  <c r="B24" i="47"/>
  <c r="F22" i="47"/>
  <c r="E22" i="47"/>
  <c r="D22" i="47"/>
  <c r="C22" i="47"/>
  <c r="B22" i="47"/>
  <c r="F21" i="47"/>
  <c r="E21" i="47"/>
  <c r="D21" i="47"/>
  <c r="C21" i="47"/>
  <c r="B21" i="47"/>
  <c r="F20" i="47"/>
  <c r="E20" i="47"/>
  <c r="D20" i="47"/>
  <c r="C20" i="47"/>
  <c r="B20" i="47"/>
  <c r="F18" i="47"/>
  <c r="E18" i="47"/>
  <c r="D18" i="47"/>
  <c r="C18" i="47"/>
  <c r="B18" i="47"/>
  <c r="F17" i="47"/>
  <c r="E17" i="47"/>
  <c r="D17" i="47"/>
  <c r="C17" i="47"/>
  <c r="B17" i="47"/>
  <c r="F16" i="47"/>
  <c r="E16" i="47"/>
  <c r="D16" i="47"/>
  <c r="C16" i="47"/>
  <c r="B16" i="47"/>
  <c r="F15" i="47"/>
  <c r="E15" i="47"/>
  <c r="D15" i="47"/>
  <c r="C15" i="47"/>
  <c r="B15" i="47"/>
  <c r="J19" i="48"/>
  <c r="J7" i="48"/>
  <c r="I15" i="48"/>
  <c r="I19" i="48"/>
  <c r="I10" i="48"/>
  <c r="H14" i="48"/>
  <c r="H13" i="48"/>
  <c r="G18" i="48"/>
  <c r="G17" i="48"/>
  <c r="G16" i="48"/>
  <c r="G12" i="48"/>
  <c r="G11" i="48"/>
  <c r="H19" i="48"/>
  <c r="G19" i="48"/>
  <c r="F19" i="48"/>
  <c r="E19" i="48"/>
  <c r="E9" i="48"/>
  <c r="E8" i="48"/>
  <c r="F6" i="48"/>
  <c r="B19" i="48"/>
  <c r="B18" i="48"/>
  <c r="B17" i="48"/>
  <c r="B16" i="48"/>
  <c r="B15" i="48"/>
  <c r="B14" i="48"/>
  <c r="B13" i="48"/>
  <c r="B12" i="48"/>
  <c r="B11" i="48"/>
  <c r="B10" i="48"/>
  <c r="B9" i="48"/>
  <c r="B8" i="48"/>
  <c r="B7" i="48"/>
  <c r="B6" i="48"/>
  <c r="B3" i="48"/>
  <c r="K16" i="26"/>
  <c r="AO11" i="23"/>
  <c r="A6" i="47" l="1"/>
  <c r="A5" i="47"/>
  <c r="A4" i="47"/>
  <c r="H17" i="37"/>
  <c r="H16" i="37"/>
  <c r="H15" i="37"/>
  <c r="H14" i="37"/>
  <c r="H13" i="37"/>
  <c r="H12" i="37"/>
  <c r="D17" i="37"/>
  <c r="D16" i="37"/>
  <c r="D15" i="37"/>
  <c r="D14" i="37"/>
  <c r="D13" i="37"/>
  <c r="D12" i="37"/>
  <c r="D22" i="39"/>
  <c r="E22" i="39" s="1"/>
  <c r="F22" i="39" s="1"/>
  <c r="G22" i="39" s="1"/>
  <c r="H22" i="39" s="1"/>
  <c r="I22" i="39" s="1"/>
  <c r="J22" i="39" s="1"/>
  <c r="K22" i="39" s="1"/>
  <c r="L22" i="39" s="1"/>
  <c r="M22" i="39" s="1"/>
  <c r="N22" i="39" s="1"/>
  <c r="D21" i="39"/>
  <c r="E21" i="39" s="1"/>
  <c r="F21" i="39" s="1"/>
  <c r="G21" i="39" s="1"/>
  <c r="H21" i="39" s="1"/>
  <c r="I21" i="39" s="1"/>
  <c r="J21" i="39" s="1"/>
  <c r="K21" i="39" s="1"/>
  <c r="L21" i="39" s="1"/>
  <c r="M21" i="39" s="1"/>
  <c r="N21" i="39" s="1"/>
  <c r="P22" i="39" l="1"/>
  <c r="C22" i="3" s="1"/>
  <c r="P21" i="39"/>
  <c r="C21" i="3" s="1"/>
  <c r="B4" i="33"/>
  <c r="A37" i="31"/>
  <c r="A4" i="32"/>
  <c r="B3" i="2"/>
  <c r="T68" i="42"/>
  <c r="U67" i="42" s="1"/>
  <c r="P68" i="42"/>
  <c r="Q61" i="42" s="1"/>
  <c r="L68" i="42"/>
  <c r="M61" i="42" s="1"/>
  <c r="H68" i="42"/>
  <c r="I63" i="42" s="1"/>
  <c r="U62" i="42"/>
  <c r="U61" i="42"/>
  <c r="Q64" i="42"/>
  <c r="M62" i="42"/>
  <c r="D22" i="31" l="1"/>
  <c r="D22" i="3"/>
  <c r="D21" i="31"/>
  <c r="D21" i="3"/>
  <c r="D19" i="3"/>
  <c r="F19" i="3"/>
  <c r="E19" i="3"/>
  <c r="G19" i="3"/>
  <c r="M63" i="42"/>
  <c r="U65" i="42"/>
  <c r="M64" i="42"/>
  <c r="M65" i="42"/>
  <c r="U63" i="42"/>
  <c r="M66" i="42"/>
  <c r="U64" i="42"/>
  <c r="M67" i="42"/>
  <c r="Q62" i="42"/>
  <c r="U66" i="42"/>
  <c r="Q63" i="42"/>
  <c r="I65" i="42"/>
  <c r="I64" i="42"/>
  <c r="I66" i="42"/>
  <c r="I67" i="42"/>
  <c r="Q65" i="42"/>
  <c r="Q66" i="42"/>
  <c r="Q67" i="42"/>
  <c r="I61" i="42"/>
  <c r="I62" i="42"/>
  <c r="Q68" i="42" l="1"/>
  <c r="F22" i="31"/>
  <c r="E22" i="3"/>
  <c r="F21" i="31"/>
  <c r="E21" i="3"/>
  <c r="M68" i="42"/>
  <c r="U68" i="42"/>
  <c r="I68" i="42"/>
  <c r="AY34" i="42"/>
  <c r="N19" i="39" s="1"/>
  <c r="AU34" i="42"/>
  <c r="M19" i="39" s="1"/>
  <c r="AQ34" i="42"/>
  <c r="L19" i="39" s="1"/>
  <c r="AM34" i="42"/>
  <c r="K19" i="39" s="1"/>
  <c r="AI34" i="42"/>
  <c r="J19" i="39" s="1"/>
  <c r="AE34" i="42"/>
  <c r="I19" i="39" s="1"/>
  <c r="AA34" i="42"/>
  <c r="H19" i="39" s="1"/>
  <c r="W34" i="42"/>
  <c r="G19" i="39" s="1"/>
  <c r="S34" i="42"/>
  <c r="F19" i="39" s="1"/>
  <c r="M34" i="42"/>
  <c r="E19" i="39" s="1"/>
  <c r="H34" i="42"/>
  <c r="D34" i="42"/>
  <c r="C19" i="39" s="1"/>
  <c r="E44" i="42"/>
  <c r="AF17" i="37" s="1"/>
  <c r="E43" i="42"/>
  <c r="AJ16" i="37" s="1"/>
  <c r="E42" i="42"/>
  <c r="E41" i="42"/>
  <c r="E40" i="42"/>
  <c r="AB13" i="37" s="1"/>
  <c r="E39" i="42"/>
  <c r="E38" i="42"/>
  <c r="BC33" i="42"/>
  <c r="B54" i="42" s="1"/>
  <c r="D67" i="42" s="1"/>
  <c r="BC32" i="42"/>
  <c r="B53" i="42" s="1"/>
  <c r="D66" i="42" s="1"/>
  <c r="BC31" i="42"/>
  <c r="B52" i="42" s="1"/>
  <c r="D65" i="42" s="1"/>
  <c r="BC30" i="42"/>
  <c r="B51" i="42" s="1"/>
  <c r="D64" i="42" s="1"/>
  <c r="BC29" i="42"/>
  <c r="B50" i="42" s="1"/>
  <c r="D63" i="42" s="1"/>
  <c r="BC28" i="42"/>
  <c r="B49" i="42" s="1"/>
  <c r="D62" i="42" s="1"/>
  <c r="BC27" i="42"/>
  <c r="B48" i="42" s="1"/>
  <c r="D61" i="42" s="1"/>
  <c r="B20" i="42"/>
  <c r="A28" i="3"/>
  <c r="F19" i="46"/>
  <c r="E19" i="46"/>
  <c r="D19" i="46"/>
  <c r="C19" i="46"/>
  <c r="F18" i="46"/>
  <c r="E18" i="46"/>
  <c r="D18" i="46"/>
  <c r="C18" i="46"/>
  <c r="A7" i="30"/>
  <c r="F11" i="46"/>
  <c r="E11" i="46"/>
  <c r="D11" i="46"/>
  <c r="C11" i="46"/>
  <c r="F10" i="46"/>
  <c r="E10" i="46"/>
  <c r="D10" i="46"/>
  <c r="C10" i="46"/>
  <c r="W21" i="44"/>
  <c r="A24" i="23"/>
  <c r="A23" i="23"/>
  <c r="A21" i="23"/>
  <c r="A20" i="23"/>
  <c r="A19" i="23"/>
  <c r="A18" i="23"/>
  <c r="A17" i="45"/>
  <c r="A16" i="45"/>
  <c r="A14" i="45"/>
  <c r="A13" i="45"/>
  <c r="A12" i="45"/>
  <c r="A11" i="45"/>
  <c r="A17" i="44"/>
  <c r="A16" i="44"/>
  <c r="A14" i="44"/>
  <c r="A13" i="44"/>
  <c r="A12" i="44"/>
  <c r="A11" i="44"/>
  <c r="I31" i="42" l="1"/>
  <c r="D19" i="39"/>
  <c r="F22" i="3"/>
  <c r="H22" i="31"/>
  <c r="F21" i="3"/>
  <c r="H21" i="31"/>
  <c r="AF16" i="37"/>
  <c r="X13" i="37"/>
  <c r="AJ14" i="37"/>
  <c r="C64" i="42"/>
  <c r="G64" i="42" s="1"/>
  <c r="AN15" i="37"/>
  <c r="C65" i="42"/>
  <c r="G65" i="42" s="1"/>
  <c r="AJ15" i="37"/>
  <c r="AV17" i="37"/>
  <c r="C67" i="42"/>
  <c r="G67" i="42" s="1"/>
  <c r="AB14" i="37"/>
  <c r="AJ17" i="37"/>
  <c r="X15" i="37"/>
  <c r="AR16" i="37"/>
  <c r="C66" i="42"/>
  <c r="G66" i="42" s="1"/>
  <c r="AB15" i="37"/>
  <c r="X11" i="37"/>
  <c r="C61" i="42"/>
  <c r="G61" i="42" s="1"/>
  <c r="I32" i="42"/>
  <c r="AB16" i="37"/>
  <c r="AN16" i="37"/>
  <c r="AF14" i="37"/>
  <c r="D68" i="42"/>
  <c r="E64" i="42" s="1"/>
  <c r="AB12" i="37"/>
  <c r="C62" i="42"/>
  <c r="G62" i="42" s="1"/>
  <c r="L17" i="37"/>
  <c r="AN17" i="37"/>
  <c r="AF13" i="37"/>
  <c r="C63" i="42"/>
  <c r="G63" i="42" s="1"/>
  <c r="X12" i="37"/>
  <c r="AF15" i="37"/>
  <c r="AR17" i="37"/>
  <c r="T11" i="37"/>
  <c r="T13" i="37"/>
  <c r="AR11" i="37"/>
  <c r="AV12" i="37"/>
  <c r="T12" i="37"/>
  <c r="AV13" i="37"/>
  <c r="AV11" i="37"/>
  <c r="D11" i="37"/>
  <c r="L13" i="37"/>
  <c r="P14" i="37"/>
  <c r="T15" i="37"/>
  <c r="X16" i="37"/>
  <c r="AB17" i="37"/>
  <c r="AJ11" i="37"/>
  <c r="AN12" i="37"/>
  <c r="AR13" i="37"/>
  <c r="AV14" i="37"/>
  <c r="P11" i="37"/>
  <c r="L11" i="37"/>
  <c r="L14" i="37"/>
  <c r="P15" i="37"/>
  <c r="T16" i="37"/>
  <c r="X17" i="37"/>
  <c r="AF11" i="37"/>
  <c r="AJ12" i="37"/>
  <c r="AN13" i="37"/>
  <c r="AR14" i="37"/>
  <c r="AV15" i="37"/>
  <c r="AR12" i="37"/>
  <c r="L15" i="37"/>
  <c r="P16" i="37"/>
  <c r="T17" i="37"/>
  <c r="AB11" i="37"/>
  <c r="AF12" i="37"/>
  <c r="AJ13" i="37"/>
  <c r="AN14" i="37"/>
  <c r="AR15" i="37"/>
  <c r="AV16" i="37"/>
  <c r="P12" i="37"/>
  <c r="X14" i="37"/>
  <c r="H11" i="37"/>
  <c r="L12" i="37"/>
  <c r="P13" i="37"/>
  <c r="T14" i="37"/>
  <c r="AN11" i="37"/>
  <c r="L16" i="37"/>
  <c r="P17" i="37"/>
  <c r="I30" i="42"/>
  <c r="O33" i="42"/>
  <c r="T33" i="42"/>
  <c r="E30" i="42"/>
  <c r="AB33" i="42"/>
  <c r="X33" i="42"/>
  <c r="AN33" i="42"/>
  <c r="AV28" i="42"/>
  <c r="AZ27" i="42"/>
  <c r="AJ27" i="42"/>
  <c r="AR29" i="42"/>
  <c r="AF27" i="42"/>
  <c r="AB30" i="42"/>
  <c r="AB31" i="42"/>
  <c r="AB32" i="42"/>
  <c r="AB27" i="42"/>
  <c r="AB28" i="42"/>
  <c r="AN27" i="42"/>
  <c r="AB29" i="42"/>
  <c r="AN28" i="42"/>
  <c r="O31" i="42"/>
  <c r="X30" i="42"/>
  <c r="X31" i="42"/>
  <c r="X27" i="42"/>
  <c r="X28" i="42"/>
  <c r="X29" i="42"/>
  <c r="T27" i="42"/>
  <c r="X32" i="42"/>
  <c r="T28" i="42"/>
  <c r="AZ29" i="42"/>
  <c r="AZ28" i="42"/>
  <c r="AZ30" i="42"/>
  <c r="AZ31" i="42"/>
  <c r="AZ32" i="42"/>
  <c r="AZ33" i="42"/>
  <c r="AN30" i="42"/>
  <c r="AN29" i="42"/>
  <c r="AN31" i="42"/>
  <c r="T29" i="42"/>
  <c r="T30" i="42"/>
  <c r="O32" i="42"/>
  <c r="O28" i="42"/>
  <c r="O29" i="42"/>
  <c r="O27" i="42"/>
  <c r="O30" i="42"/>
  <c r="I28" i="42"/>
  <c r="I27" i="42"/>
  <c r="I29" i="42"/>
  <c r="I33" i="42"/>
  <c r="E31" i="42"/>
  <c r="E32" i="42"/>
  <c r="E33" i="42"/>
  <c r="E27" i="42"/>
  <c r="E28" i="42"/>
  <c r="E29" i="42"/>
  <c r="AV29" i="42"/>
  <c r="AV31" i="42"/>
  <c r="AV32" i="42"/>
  <c r="AV30" i="42"/>
  <c r="AV33" i="42"/>
  <c r="AR32" i="42"/>
  <c r="AR33" i="42"/>
  <c r="AR30" i="42"/>
  <c r="AR31" i="42"/>
  <c r="AR28" i="42"/>
  <c r="AV27" i="42"/>
  <c r="AR27" i="42"/>
  <c r="AN32" i="42"/>
  <c r="AJ29" i="42"/>
  <c r="AJ31" i="42"/>
  <c r="AJ28" i="42"/>
  <c r="AJ32" i="42"/>
  <c r="AJ30" i="42"/>
  <c r="AJ33" i="42"/>
  <c r="AF30" i="42"/>
  <c r="AF28" i="42"/>
  <c r="AF29" i="42"/>
  <c r="AF31" i="42"/>
  <c r="AF32" i="42"/>
  <c r="AF33" i="42"/>
  <c r="T31" i="42"/>
  <c r="T32" i="42"/>
  <c r="BC34" i="42"/>
  <c r="B55" i="42"/>
  <c r="V29" i="43"/>
  <c r="R29" i="43"/>
  <c r="N29" i="43"/>
  <c r="J29" i="43"/>
  <c r="D6" i="43"/>
  <c r="U23" i="43"/>
  <c r="Q23" i="43"/>
  <c r="M23" i="43"/>
  <c r="I23" i="43"/>
  <c r="E22" i="43"/>
  <c r="E21" i="43"/>
  <c r="E20" i="43"/>
  <c r="I13" i="43"/>
  <c r="M13" i="43" s="1"/>
  <c r="Q13" i="43" s="1"/>
  <c r="U13" i="43" s="1"/>
  <c r="J28" i="37"/>
  <c r="N28" i="37" s="1"/>
  <c r="R28" i="37" s="1"/>
  <c r="V28" i="37" s="1"/>
  <c r="Z28" i="37" s="1"/>
  <c r="AD28" i="37" s="1"/>
  <c r="AH28" i="37" s="1"/>
  <c r="AL28" i="37" s="1"/>
  <c r="AP28" i="37" s="1"/>
  <c r="AT28" i="37" s="1"/>
  <c r="AX28" i="37" s="1"/>
  <c r="H22" i="37"/>
  <c r="L22" i="37" s="1"/>
  <c r="P22" i="37" s="1"/>
  <c r="T22" i="37" s="1"/>
  <c r="X22" i="37" s="1"/>
  <c r="AB22" i="37" s="1"/>
  <c r="AF22" i="37" s="1"/>
  <c r="AJ22" i="37" s="1"/>
  <c r="AN22" i="37" s="1"/>
  <c r="AR22" i="37" s="1"/>
  <c r="AV22" i="37" s="1"/>
  <c r="C6" i="37"/>
  <c r="B14" i="31"/>
  <c r="B9" i="31"/>
  <c r="B2" i="39"/>
  <c r="B2" i="3" s="1"/>
  <c r="A2" i="39"/>
  <c r="A2" i="3" s="1"/>
  <c r="B6" i="26"/>
  <c r="B24" i="36"/>
  <c r="B7" i="36"/>
  <c r="B42" i="31"/>
  <c r="Q13" i="26"/>
  <c r="Q9" i="26"/>
  <c r="D9" i="30" s="1"/>
  <c r="Q6" i="26"/>
  <c r="B17" i="39"/>
  <c r="B17" i="3" s="1"/>
  <c r="B15" i="39"/>
  <c r="B15" i="3" s="1"/>
  <c r="B14" i="39"/>
  <c r="B14" i="3" s="1"/>
  <c r="B9" i="39"/>
  <c r="B9" i="3" s="1"/>
  <c r="B7" i="39"/>
  <c r="B6" i="39"/>
  <c r="B5" i="39"/>
  <c r="B5" i="3" s="1"/>
  <c r="B4" i="39"/>
  <c r="B4" i="3" s="1"/>
  <c r="B3" i="39"/>
  <c r="A18" i="39"/>
  <c r="A18" i="3" s="1"/>
  <c r="A17" i="39"/>
  <c r="A17" i="3" s="1"/>
  <c r="A16" i="39"/>
  <c r="A16" i="3" s="1"/>
  <c r="A15" i="39"/>
  <c r="A15" i="3" s="1"/>
  <c r="A12" i="39"/>
  <c r="A12" i="3" s="1"/>
  <c r="A14" i="39"/>
  <c r="A14" i="3" s="1"/>
  <c r="A13" i="39"/>
  <c r="A13" i="3" s="1"/>
  <c r="A11" i="39"/>
  <c r="A11" i="3" s="1"/>
  <c r="A10" i="39"/>
  <c r="A10" i="3" s="1"/>
  <c r="A9" i="39"/>
  <c r="A9" i="3" s="1"/>
  <c r="A8" i="39"/>
  <c r="A8" i="3" s="1"/>
  <c r="A7" i="39"/>
  <c r="A7" i="3" s="1"/>
  <c r="A6" i="39"/>
  <c r="A6" i="3" s="1"/>
  <c r="A5" i="39"/>
  <c r="A5" i="3" s="1"/>
  <c r="A4" i="39"/>
  <c r="A4" i="3" s="1"/>
  <c r="A3" i="39"/>
  <c r="A3" i="3" s="1"/>
  <c r="C24" i="39"/>
  <c r="A31" i="31"/>
  <c r="G22" i="3" l="1"/>
  <c r="L22" i="31" s="1"/>
  <c r="J22" i="31"/>
  <c r="G21" i="3"/>
  <c r="L21" i="31" s="1"/>
  <c r="J21" i="31"/>
  <c r="J66" i="42"/>
  <c r="K66" i="42"/>
  <c r="O66" i="42" s="1"/>
  <c r="S66" i="42" s="1"/>
  <c r="J65" i="42"/>
  <c r="K65" i="42"/>
  <c r="O65" i="42" s="1"/>
  <c r="S65" i="42" s="1"/>
  <c r="K62" i="42"/>
  <c r="O62" i="42" s="1"/>
  <c r="S62" i="42" s="1"/>
  <c r="J62" i="42"/>
  <c r="J64" i="42"/>
  <c r="K64" i="42"/>
  <c r="O64" i="42" s="1"/>
  <c r="S64" i="42" s="1"/>
  <c r="K61" i="42"/>
  <c r="O61" i="42" s="1"/>
  <c r="S61" i="42" s="1"/>
  <c r="J61" i="42"/>
  <c r="J67" i="42"/>
  <c r="K67" i="42"/>
  <c r="O67" i="42" s="1"/>
  <c r="S67" i="42" s="1"/>
  <c r="J63" i="42"/>
  <c r="K63" i="42"/>
  <c r="O63" i="42" s="1"/>
  <c r="S63" i="42" s="1"/>
  <c r="N62" i="42"/>
  <c r="N61" i="42"/>
  <c r="E66" i="42"/>
  <c r="P18" i="37"/>
  <c r="Q13" i="37" s="1"/>
  <c r="AR18" i="37"/>
  <c r="AN18" i="37"/>
  <c r="AF18" i="37"/>
  <c r="AZ14" i="37"/>
  <c r="F64" i="42" s="1"/>
  <c r="E61" i="42"/>
  <c r="X18" i="37"/>
  <c r="E63" i="42"/>
  <c r="E65" i="42"/>
  <c r="AZ17" i="37"/>
  <c r="F67" i="42" s="1"/>
  <c r="E67" i="42"/>
  <c r="E62" i="42"/>
  <c r="AZ16" i="37"/>
  <c r="F66" i="42" s="1"/>
  <c r="AB18" i="37"/>
  <c r="AZ11" i="37"/>
  <c r="F61" i="42" s="1"/>
  <c r="T18" i="37"/>
  <c r="AV18" i="37"/>
  <c r="AW14" i="37" s="1"/>
  <c r="AJ18" i="37"/>
  <c r="AZ12" i="37"/>
  <c r="F62" i="42" s="1"/>
  <c r="AZ13" i="37"/>
  <c r="F63" i="42" s="1"/>
  <c r="H18" i="37"/>
  <c r="L18" i="37"/>
  <c r="AZ15" i="37"/>
  <c r="F65" i="42" s="1"/>
  <c r="AB34" i="42"/>
  <c r="T34" i="42"/>
  <c r="AN34" i="42"/>
  <c r="AZ34" i="42"/>
  <c r="X34" i="42"/>
  <c r="O34" i="42"/>
  <c r="AR34" i="42"/>
  <c r="I34" i="42"/>
  <c r="BD33" i="42"/>
  <c r="BD28" i="42"/>
  <c r="BD30" i="42"/>
  <c r="BD32" i="42"/>
  <c r="BD29" i="42"/>
  <c r="BD27" i="42"/>
  <c r="BD31" i="42"/>
  <c r="E34" i="42"/>
  <c r="AV34" i="42"/>
  <c r="AJ34" i="42"/>
  <c r="AF34" i="42"/>
  <c r="E9" i="46"/>
  <c r="E17" i="46"/>
  <c r="C9" i="46"/>
  <c r="C17" i="46"/>
  <c r="D9" i="46"/>
  <c r="D17" i="46"/>
  <c r="F9" i="46"/>
  <c r="F17" i="46"/>
  <c r="E23" i="43"/>
  <c r="B16" i="31"/>
  <c r="B6" i="3"/>
  <c r="B7" i="3"/>
  <c r="B3" i="3"/>
  <c r="A31" i="3"/>
  <c r="A30" i="31" s="1"/>
  <c r="A20" i="3"/>
  <c r="A20" i="31" s="1"/>
  <c r="A30" i="3"/>
  <c r="A13" i="31" s="1"/>
  <c r="A29" i="3"/>
  <c r="A12" i="31" s="1"/>
  <c r="A29" i="31"/>
  <c r="A27" i="3"/>
  <c r="A28" i="31" s="1"/>
  <c r="A23" i="3"/>
  <c r="A27" i="31" s="1"/>
  <c r="A24" i="3"/>
  <c r="A26" i="31" s="1"/>
  <c r="A26" i="3"/>
  <c r="A25" i="31" s="1"/>
  <c r="A25" i="3"/>
  <c r="A24" i="31" s="1"/>
  <c r="A19" i="3"/>
  <c r="A23" i="31" s="1"/>
  <c r="B21" i="36"/>
  <c r="B16" i="39" s="1"/>
  <c r="B16" i="3" s="1"/>
  <c r="C23" i="39"/>
  <c r="P23" i="39" s="1"/>
  <c r="B19" i="42"/>
  <c r="C20" i="39" s="1"/>
  <c r="C29" i="39"/>
  <c r="P29" i="39" s="1"/>
  <c r="C28" i="39"/>
  <c r="P28" i="39" s="1"/>
  <c r="D13" i="42"/>
  <c r="D12" i="42"/>
  <c r="D11" i="42"/>
  <c r="B18" i="36"/>
  <c r="B13" i="39" s="1"/>
  <c r="B13" i="3" s="1"/>
  <c r="B17" i="36"/>
  <c r="B12" i="39" s="1"/>
  <c r="B12" i="3" s="1"/>
  <c r="B16" i="36"/>
  <c r="B11" i="39" s="1"/>
  <c r="B11" i="3" s="1"/>
  <c r="B13" i="36"/>
  <c r="B15" i="36"/>
  <c r="B10" i="39" s="1"/>
  <c r="B10" i="3" s="1"/>
  <c r="B23" i="36"/>
  <c r="B18" i="39" s="1"/>
  <c r="B18" i="3" s="1"/>
  <c r="C5" i="41"/>
  <c r="C9" i="41" s="1"/>
  <c r="C12" i="41" s="1"/>
  <c r="J31" i="33"/>
  <c r="I31" i="33"/>
  <c r="L42" i="31"/>
  <c r="J42" i="31"/>
  <c r="B9" i="30"/>
  <c r="D23" i="33" s="1"/>
  <c r="F23" i="33" s="1"/>
  <c r="G23" i="33" s="1"/>
  <c r="H23" i="33" s="1"/>
  <c r="I23" i="33" s="1"/>
  <c r="J23" i="33" s="1"/>
  <c r="B12" i="23"/>
  <c r="B11" i="25" s="1"/>
  <c r="B11" i="23"/>
  <c r="B10" i="25" s="1"/>
  <c r="G10" i="25" s="1"/>
  <c r="L10" i="25" s="1"/>
  <c r="Q10" i="25" s="1"/>
  <c r="V10" i="25" s="1"/>
  <c r="E26" i="30"/>
  <c r="F26" i="30" s="1"/>
  <c r="G26" i="30" s="1"/>
  <c r="H26" i="30" s="1"/>
  <c r="A17" i="30"/>
  <c r="A15" i="30"/>
  <c r="A14" i="30"/>
  <c r="A9" i="30"/>
  <c r="A6" i="30"/>
  <c r="E26" i="26"/>
  <c r="F26" i="26" s="1"/>
  <c r="G26" i="26" s="1"/>
  <c r="H26" i="26" s="1"/>
  <c r="I26" i="26" s="1"/>
  <c r="J26" i="26" s="1"/>
  <c r="K26" i="26" s="1"/>
  <c r="L26" i="26" s="1"/>
  <c r="M26" i="26" s="1"/>
  <c r="N26" i="26" s="1"/>
  <c r="O26" i="26" s="1"/>
  <c r="A5" i="31"/>
  <c r="A4" i="31"/>
  <c r="A6" i="31"/>
  <c r="B39" i="37"/>
  <c r="B5" i="25"/>
  <c r="G5" i="25" s="1"/>
  <c r="L5" i="25" s="1"/>
  <c r="Q5" i="25" s="1"/>
  <c r="B4" i="25"/>
  <c r="G4" i="25" s="1"/>
  <c r="L4" i="25" s="1"/>
  <c r="Q4" i="25" s="1"/>
  <c r="B6" i="25"/>
  <c r="G6" i="25" s="1"/>
  <c r="L6" i="25" s="1"/>
  <c r="Q6" i="25" s="1"/>
  <c r="B3" i="25"/>
  <c r="G3" i="25" s="1"/>
  <c r="L3" i="25" s="1"/>
  <c r="Q3" i="25" s="1"/>
  <c r="N66" i="42" l="1"/>
  <c r="AW15" i="37"/>
  <c r="Q14" i="37"/>
  <c r="P24" i="37"/>
  <c r="P5" i="37" s="1"/>
  <c r="M15" i="37"/>
  <c r="L24" i="37"/>
  <c r="L3" i="37" s="1"/>
  <c r="I14" i="37"/>
  <c r="H24" i="37"/>
  <c r="H5" i="37" s="1"/>
  <c r="AC11" i="37"/>
  <c r="AB24" i="37"/>
  <c r="AB5" i="37" s="1"/>
  <c r="AG12" i="37"/>
  <c r="AF24" i="37"/>
  <c r="AF5" i="37" s="1"/>
  <c r="AK12" i="37"/>
  <c r="AJ24" i="37"/>
  <c r="AJ4" i="37" s="1"/>
  <c r="AO14" i="37"/>
  <c r="AN24" i="37"/>
  <c r="AN4" i="37" s="1"/>
  <c r="AS11" i="37"/>
  <c r="AR24" i="37"/>
  <c r="AR3" i="37" s="1"/>
  <c r="AW11" i="37"/>
  <c r="AV24" i="37"/>
  <c r="AV3" i="37" s="1"/>
  <c r="Y15" i="37"/>
  <c r="X24" i="37"/>
  <c r="U14" i="37"/>
  <c r="T24" i="37"/>
  <c r="T3" i="37" s="1"/>
  <c r="F68" i="42"/>
  <c r="N63" i="42"/>
  <c r="Q12" i="37"/>
  <c r="N64" i="42"/>
  <c r="U17" i="37"/>
  <c r="Q17" i="37"/>
  <c r="Q16" i="37"/>
  <c r="N65" i="42"/>
  <c r="J68" i="42"/>
  <c r="I10" i="43" s="1"/>
  <c r="AW16" i="37"/>
  <c r="Q11" i="37"/>
  <c r="Q15" i="37"/>
  <c r="N67" i="42"/>
  <c r="N68" i="42"/>
  <c r="M10" i="43" s="1"/>
  <c r="V65" i="42"/>
  <c r="R65" i="42"/>
  <c r="V67" i="42"/>
  <c r="R67" i="42"/>
  <c r="V63" i="42"/>
  <c r="R63" i="42"/>
  <c r="V62" i="42"/>
  <c r="R62" i="42"/>
  <c r="V64" i="42"/>
  <c r="R64" i="42"/>
  <c r="V66" i="42"/>
  <c r="R66" i="42"/>
  <c r="V61" i="42"/>
  <c r="R61" i="42"/>
  <c r="AS15" i="37"/>
  <c r="U16" i="37"/>
  <c r="AS12" i="37"/>
  <c r="AS13" i="37"/>
  <c r="AG14" i="37"/>
  <c r="AW12" i="37"/>
  <c r="AW17" i="37"/>
  <c r="AG11" i="37"/>
  <c r="AG15" i="37"/>
  <c r="AG16" i="37"/>
  <c r="AS16" i="37"/>
  <c r="AS14" i="37"/>
  <c r="Y17" i="37"/>
  <c r="AO13" i="37"/>
  <c r="Y13" i="37"/>
  <c r="AO16" i="37"/>
  <c r="AO11" i="37"/>
  <c r="AC12" i="37"/>
  <c r="AO12" i="37"/>
  <c r="AO17" i="37"/>
  <c r="AS17" i="37"/>
  <c r="AO15" i="37"/>
  <c r="Y12" i="37"/>
  <c r="Y11" i="37"/>
  <c r="E68" i="42"/>
  <c r="Y14" i="37"/>
  <c r="U15" i="37"/>
  <c r="Y16" i="37"/>
  <c r="U11" i="37"/>
  <c r="AG13" i="37"/>
  <c r="U12" i="37"/>
  <c r="AG17" i="37"/>
  <c r="AC13" i="37"/>
  <c r="AC15" i="37"/>
  <c r="AC14" i="37"/>
  <c r="AC16" i="37"/>
  <c r="AC17" i="37"/>
  <c r="U13" i="37"/>
  <c r="AW13" i="37"/>
  <c r="AK14" i="37"/>
  <c r="M13" i="37"/>
  <c r="AK16" i="37"/>
  <c r="AK17" i="37"/>
  <c r="M11" i="37"/>
  <c r="M12" i="37"/>
  <c r="M16" i="37"/>
  <c r="I15" i="37"/>
  <c r="AK13" i="37"/>
  <c r="AZ18" i="37"/>
  <c r="BA16" i="37" s="1"/>
  <c r="I16" i="37"/>
  <c r="AK15" i="37"/>
  <c r="I13" i="37"/>
  <c r="AK11" i="37"/>
  <c r="I11" i="37"/>
  <c r="I17" i="37"/>
  <c r="I12" i="37"/>
  <c r="M17" i="37"/>
  <c r="M14" i="37"/>
  <c r="BD34" i="42"/>
  <c r="B11" i="42"/>
  <c r="C25" i="39" s="1"/>
  <c r="P25" i="39" s="1"/>
  <c r="C26" i="3" s="1"/>
  <c r="B12" i="42"/>
  <c r="C26" i="39" s="1"/>
  <c r="P26" i="39" s="1"/>
  <c r="C24" i="3" s="1"/>
  <c r="B13" i="42"/>
  <c r="C27" i="39" s="1"/>
  <c r="P27" i="39" s="1"/>
  <c r="B8" i="39"/>
  <c r="B32" i="39" s="1"/>
  <c r="B14" i="26"/>
  <c r="B15" i="30" s="1"/>
  <c r="B16" i="42"/>
  <c r="N35" i="39" s="1"/>
  <c r="N37" i="39" s="1"/>
  <c r="D20" i="39"/>
  <c r="E20" i="39" s="1"/>
  <c r="F20" i="39" s="1"/>
  <c r="G20" i="39" s="1"/>
  <c r="H20" i="39" s="1"/>
  <c r="I20" i="39" s="1"/>
  <c r="J20" i="39" s="1"/>
  <c r="K20" i="39" s="1"/>
  <c r="L20" i="39" s="1"/>
  <c r="M20" i="39" s="1"/>
  <c r="N20" i="39" s="1"/>
  <c r="D24" i="39"/>
  <c r="C31" i="3"/>
  <c r="C28" i="3"/>
  <c r="B4" i="32"/>
  <c r="C6" i="41"/>
  <c r="C7" i="41"/>
  <c r="C8" i="41"/>
  <c r="V6" i="25"/>
  <c r="V4" i="25"/>
  <c r="V3" i="25"/>
  <c r="V5" i="25"/>
  <c r="G11" i="25"/>
  <c r="H4" i="37" l="1"/>
  <c r="L4" i="37"/>
  <c r="L5" i="37"/>
  <c r="D4" i="32"/>
  <c r="H37" i="31" s="1"/>
  <c r="G4" i="33"/>
  <c r="P4" i="37"/>
  <c r="P3" i="37"/>
  <c r="Q18" i="37"/>
  <c r="H3" i="37"/>
  <c r="AB3" i="37"/>
  <c r="AB4" i="37"/>
  <c r="AV5" i="37"/>
  <c r="AV4" i="37"/>
  <c r="AF3" i="37"/>
  <c r="AJ3" i="37"/>
  <c r="AN5" i="37"/>
  <c r="T4" i="37"/>
  <c r="T5" i="37"/>
  <c r="X3" i="37"/>
  <c r="X5" i="37"/>
  <c r="AR4" i="37"/>
  <c r="X4" i="37"/>
  <c r="AR5" i="37"/>
  <c r="AN3" i="37"/>
  <c r="AF4" i="37"/>
  <c r="AJ5" i="37"/>
  <c r="R68" i="42"/>
  <c r="Q10" i="43" s="1"/>
  <c r="V68" i="42"/>
  <c r="U10" i="43" s="1"/>
  <c r="AW18" i="37"/>
  <c r="AS18" i="37"/>
  <c r="AO18" i="37"/>
  <c r="Y18" i="37"/>
  <c r="U18" i="37"/>
  <c r="AG18" i="37"/>
  <c r="AC18" i="37"/>
  <c r="BA13" i="37"/>
  <c r="BA12" i="37"/>
  <c r="AK18" i="37"/>
  <c r="BA17" i="37"/>
  <c r="BA15" i="37"/>
  <c r="BA14" i="37"/>
  <c r="M18" i="37"/>
  <c r="BA11" i="37"/>
  <c r="E10" i="43"/>
  <c r="I18" i="37"/>
  <c r="F37" i="31"/>
  <c r="J37" i="31"/>
  <c r="L37" i="31"/>
  <c r="P35" i="39"/>
  <c r="C37" i="3" s="1"/>
  <c r="D31" i="31" s="1"/>
  <c r="B8" i="3"/>
  <c r="B42" i="39"/>
  <c r="P19" i="39"/>
  <c r="P20" i="39"/>
  <c r="C20" i="3" s="1"/>
  <c r="D20" i="31" s="1"/>
  <c r="D26" i="3"/>
  <c r="F25" i="31" s="1"/>
  <c r="D25" i="31"/>
  <c r="D24" i="3"/>
  <c r="F26" i="31" s="1"/>
  <c r="D26" i="31"/>
  <c r="D29" i="31"/>
  <c r="D28" i="3"/>
  <c r="E28" i="3" s="1"/>
  <c r="D30" i="31"/>
  <c r="D31" i="3"/>
  <c r="E31" i="3" s="1"/>
  <c r="E24" i="39"/>
  <c r="F24" i="39" s="1"/>
  <c r="B6" i="30"/>
  <c r="L11" i="25"/>
  <c r="Q11" i="25" s="1"/>
  <c r="B4" i="2"/>
  <c r="A56" i="31"/>
  <c r="B14" i="30" l="1"/>
  <c r="E14" i="30"/>
  <c r="BA18" i="37"/>
  <c r="B32" i="3"/>
  <c r="B19" i="31" s="1"/>
  <c r="B32" i="31" s="1"/>
  <c r="B34" i="31" s="1"/>
  <c r="B44" i="31" s="1"/>
  <c r="E26" i="3"/>
  <c r="F26" i="3" s="1"/>
  <c r="D37" i="3"/>
  <c r="F31" i="31" s="1"/>
  <c r="D20" i="3"/>
  <c r="F20" i="31" s="1"/>
  <c r="C19" i="3"/>
  <c r="F30" i="31"/>
  <c r="E24" i="3"/>
  <c r="F24" i="3" s="1"/>
  <c r="F29" i="31"/>
  <c r="H30" i="31"/>
  <c r="F31" i="3"/>
  <c r="E37" i="3"/>
  <c r="F28" i="3"/>
  <c r="H29" i="31"/>
  <c r="D22" i="33"/>
  <c r="B11" i="30"/>
  <c r="C23" i="3"/>
  <c r="C27" i="3"/>
  <c r="V11" i="25"/>
  <c r="G24" i="39"/>
  <c r="B20" i="30"/>
  <c r="D5" i="33"/>
  <c r="H25" i="31" l="1"/>
  <c r="E20" i="3"/>
  <c r="H20" i="31" s="1"/>
  <c r="B46" i="31"/>
  <c r="B49" i="31" s="1"/>
  <c r="B51" i="31" s="1"/>
  <c r="D24" i="33" s="1"/>
  <c r="F25" i="33" s="1"/>
  <c r="D45" i="31"/>
  <c r="H26" i="31"/>
  <c r="D23" i="31"/>
  <c r="G24" i="3"/>
  <c r="L26" i="31" s="1"/>
  <c r="J26" i="31"/>
  <c r="D27" i="31"/>
  <c r="D23" i="3"/>
  <c r="F37" i="3"/>
  <c r="H31" i="31"/>
  <c r="G28" i="3"/>
  <c r="L29" i="31" s="1"/>
  <c r="J29" i="31"/>
  <c r="G31" i="3"/>
  <c r="L30" i="31" s="1"/>
  <c r="J30" i="31"/>
  <c r="D28" i="31"/>
  <c r="D27" i="3"/>
  <c r="J25" i="31"/>
  <c r="G26" i="3"/>
  <c r="L25" i="31" s="1"/>
  <c r="F22" i="33"/>
  <c r="G22" i="33" s="1"/>
  <c r="H22" i="33" s="1"/>
  <c r="I22" i="33" s="1"/>
  <c r="J22" i="33" s="1"/>
  <c r="H4" i="33"/>
  <c r="B23" i="30"/>
  <c r="B22" i="30"/>
  <c r="H24" i="39"/>
  <c r="F20" i="3" l="1"/>
  <c r="J20" i="31" s="1"/>
  <c r="F23" i="31"/>
  <c r="G37" i="3"/>
  <c r="L31" i="31" s="1"/>
  <c r="J31" i="31"/>
  <c r="F27" i="31"/>
  <c r="E23" i="3"/>
  <c r="F28" i="31"/>
  <c r="E27" i="3"/>
  <c r="I4" i="33"/>
  <c r="D8" i="33"/>
  <c r="D3" i="30"/>
  <c r="I24" i="39"/>
  <c r="G20" i="3" l="1"/>
  <c r="L20" i="31" s="1"/>
  <c r="H23" i="31"/>
  <c r="H28" i="31"/>
  <c r="F27" i="3"/>
  <c r="F23" i="3"/>
  <c r="H27" i="31"/>
  <c r="J4" i="33"/>
  <c r="J24" i="39"/>
  <c r="L23" i="31" l="1"/>
  <c r="J23" i="31"/>
  <c r="G27" i="3"/>
  <c r="L28" i="31" s="1"/>
  <c r="J28" i="31"/>
  <c r="G23" i="3"/>
  <c r="J27" i="31"/>
  <c r="K24" i="39"/>
  <c r="L27" i="31" l="1"/>
  <c r="L24" i="39"/>
  <c r="H31" i="33"/>
  <c r="G31" i="33"/>
  <c r="F31" i="33"/>
  <c r="D31" i="33"/>
  <c r="D17" i="33"/>
  <c r="M24" i="39" l="1"/>
  <c r="N24" i="39" l="1"/>
  <c r="P24" i="39" s="1"/>
  <c r="F42" i="31" l="1"/>
  <c r="H42" i="31"/>
  <c r="D42" i="31"/>
  <c r="C25" i="3" l="1"/>
  <c r="D24" i="31" l="1"/>
  <c r="D32" i="31" s="1"/>
  <c r="D25" i="3"/>
  <c r="F24" i="31" l="1"/>
  <c r="F32" i="31" s="1"/>
  <c r="E25" i="3"/>
  <c r="H24" i="31" l="1"/>
  <c r="H32" i="31" s="1"/>
  <c r="F25" i="3"/>
  <c r="J24" i="31" l="1"/>
  <c r="J32" i="31" s="1"/>
  <c r="G25" i="3"/>
  <c r="L24" i="31" l="1"/>
  <c r="L32" i="31" s="1"/>
  <c r="O20" i="26"/>
  <c r="N20" i="26"/>
  <c r="M20" i="26"/>
  <c r="L20" i="26"/>
  <c r="K20" i="26"/>
  <c r="J20" i="26"/>
  <c r="I20" i="26"/>
  <c r="H20" i="26"/>
  <c r="G20" i="26"/>
  <c r="F20" i="26"/>
  <c r="E20" i="26"/>
  <c r="D20" i="26"/>
  <c r="B10" i="26"/>
  <c r="O5" i="26"/>
  <c r="O12" i="26" s="1"/>
  <c r="N5" i="26"/>
  <c r="N12" i="26" s="1"/>
  <c r="M5" i="26"/>
  <c r="M12" i="26" s="1"/>
  <c r="L5" i="26"/>
  <c r="L12" i="26" s="1"/>
  <c r="K5" i="26"/>
  <c r="K12" i="26" s="1"/>
  <c r="J5" i="26"/>
  <c r="J12" i="26" s="1"/>
  <c r="I5" i="26"/>
  <c r="I12" i="26" s="1"/>
  <c r="H5" i="26"/>
  <c r="H12" i="26" s="1"/>
  <c r="G5" i="26"/>
  <c r="G12" i="26" s="1"/>
  <c r="F5" i="26"/>
  <c r="F12" i="26" s="1"/>
  <c r="E5" i="26"/>
  <c r="E12" i="26" s="1"/>
  <c r="D5" i="26"/>
  <c r="D12" i="26" s="1"/>
  <c r="D26" i="33" l="1"/>
  <c r="B17" i="26" l="1"/>
  <c r="B22" i="26" l="1"/>
  <c r="B23" i="26" s="1"/>
  <c r="B21" i="26"/>
  <c r="B6" i="32" l="1"/>
  <c r="D3" i="26"/>
  <c r="L38" i="31" l="1"/>
  <c r="L65" i="31" s="1"/>
  <c r="J38" i="31"/>
  <c r="J65" i="31" s="1"/>
  <c r="H38" i="31"/>
  <c r="H65" i="31" s="1"/>
  <c r="F38" i="31"/>
  <c r="F65" i="31" s="1"/>
  <c r="D38" i="31"/>
  <c r="D65" i="31" s="1"/>
  <c r="F5" i="33" l="1"/>
  <c r="D10" i="33"/>
  <c r="D12" i="33" s="1"/>
  <c r="G5" i="33" l="1"/>
  <c r="D19" i="33"/>
  <c r="D34" i="33" s="1"/>
  <c r="H5" i="33" l="1"/>
  <c r="J5" i="33" l="1"/>
  <c r="I5" i="33"/>
  <c r="D18" i="37"/>
  <c r="D24" i="37" s="1"/>
  <c r="AZ24" i="37" s="1"/>
  <c r="E16" i="43" s="1"/>
  <c r="E5" i="43" l="1"/>
  <c r="E4" i="43"/>
  <c r="E3" i="43"/>
  <c r="D4" i="37"/>
  <c r="F4" i="37" s="1"/>
  <c r="D3" i="37"/>
  <c r="D6" i="23" s="1"/>
  <c r="C30" i="39" s="1"/>
  <c r="D5" i="37"/>
  <c r="E16" i="37"/>
  <c r="E17" i="37"/>
  <c r="E15" i="37"/>
  <c r="E14" i="37"/>
  <c r="E11" i="37"/>
  <c r="E13" i="37"/>
  <c r="E12" i="37"/>
  <c r="U16" i="43"/>
  <c r="M16" i="43"/>
  <c r="Q16" i="43"/>
  <c r="I16" i="43"/>
  <c r="B26" i="46"/>
  <c r="B25" i="46"/>
  <c r="B27" i="46"/>
  <c r="C25" i="46"/>
  <c r="C27" i="46"/>
  <c r="C26" i="46"/>
  <c r="D27" i="46"/>
  <c r="D26" i="46"/>
  <c r="D25" i="46"/>
  <c r="E25" i="46"/>
  <c r="E27" i="46"/>
  <c r="E26" i="46"/>
  <c r="F25" i="46"/>
  <c r="F27" i="46"/>
  <c r="F26" i="46"/>
  <c r="V6" i="23"/>
  <c r="I30" i="39" s="1"/>
  <c r="S6" i="23"/>
  <c r="H30" i="39" s="1"/>
  <c r="AH6" i="23"/>
  <c r="P6" i="23"/>
  <c r="AK6" i="23"/>
  <c r="N30" i="39" s="1"/>
  <c r="G6" i="23"/>
  <c r="M30" i="39" l="1"/>
  <c r="G30" i="39"/>
  <c r="D30" i="39"/>
  <c r="Q5" i="43"/>
  <c r="Q4" i="43"/>
  <c r="Q3" i="43"/>
  <c r="I4" i="43"/>
  <c r="I5" i="43"/>
  <c r="I3" i="43"/>
  <c r="H6" i="25" s="1"/>
  <c r="D29" i="3" s="1"/>
  <c r="M5" i="43"/>
  <c r="M3" i="43"/>
  <c r="M6" i="25" s="1"/>
  <c r="E29" i="3" s="1"/>
  <c r="M4" i="43"/>
  <c r="U3" i="43"/>
  <c r="W6" i="25" s="1"/>
  <c r="G29" i="3" s="1"/>
  <c r="U5" i="43"/>
  <c r="U4" i="43"/>
  <c r="T6" i="23"/>
  <c r="E6" i="43"/>
  <c r="B18" i="23"/>
  <c r="B39" i="44"/>
  <c r="B42" i="44"/>
  <c r="B43" i="45" s="1"/>
  <c r="B21" i="23"/>
  <c r="B45" i="44"/>
  <c r="B46" i="45" s="1"/>
  <c r="B24" i="23"/>
  <c r="B19" i="23"/>
  <c r="B40" i="44"/>
  <c r="B41" i="45" s="1"/>
  <c r="B44" i="44"/>
  <c r="B45" i="45" s="1"/>
  <c r="B23" i="23"/>
  <c r="B43" i="44"/>
  <c r="B44" i="45" s="1"/>
  <c r="B22" i="23"/>
  <c r="B20" i="23"/>
  <c r="B41" i="44"/>
  <c r="B42" i="45" s="1"/>
  <c r="E18" i="37"/>
  <c r="E4" i="37"/>
  <c r="H6" i="37"/>
  <c r="D6" i="37"/>
  <c r="AB6" i="37"/>
  <c r="X6" i="37"/>
  <c r="T6" i="37"/>
  <c r="AL6" i="23"/>
  <c r="E3" i="37"/>
  <c r="F3" i="37"/>
  <c r="AR6" i="37"/>
  <c r="AV6" i="37"/>
  <c r="H6" i="23"/>
  <c r="AI6" i="23"/>
  <c r="M6" i="23"/>
  <c r="P6" i="37"/>
  <c r="AZ3" i="37"/>
  <c r="AZ4" i="37"/>
  <c r="AN6" i="37"/>
  <c r="AE6" i="23"/>
  <c r="AJ6" i="37"/>
  <c r="AB6" i="23"/>
  <c r="E6" i="23"/>
  <c r="F5" i="37"/>
  <c r="AZ5" i="37"/>
  <c r="E5" i="37"/>
  <c r="Q6" i="23"/>
  <c r="J6" i="23"/>
  <c r="L6" i="37"/>
  <c r="Y6" i="23"/>
  <c r="AF6" i="37"/>
  <c r="W6" i="23"/>
  <c r="AV45" i="37" l="1"/>
  <c r="AV44" i="37"/>
  <c r="AV50" i="37"/>
  <c r="AV49" i="37"/>
  <c r="AV48" i="37"/>
  <c r="AV47" i="37"/>
  <c r="AV46" i="37"/>
  <c r="AR44" i="37"/>
  <c r="AR47" i="37"/>
  <c r="AR48" i="37"/>
  <c r="AR50" i="37"/>
  <c r="AR46" i="37"/>
  <c r="AR45" i="37"/>
  <c r="AR49" i="37"/>
  <c r="AN50" i="37"/>
  <c r="AN49" i="37"/>
  <c r="AN48" i="37"/>
  <c r="AN47" i="37"/>
  <c r="AN46" i="37"/>
  <c r="AN45" i="37"/>
  <c r="AN44" i="37"/>
  <c r="AJ50" i="37"/>
  <c r="AJ49" i="37"/>
  <c r="AJ48" i="37"/>
  <c r="AJ47" i="37"/>
  <c r="AJ46" i="37"/>
  <c r="AJ45" i="37"/>
  <c r="AJ44" i="37"/>
  <c r="AF49" i="37"/>
  <c r="AF47" i="37"/>
  <c r="AF46" i="37"/>
  <c r="AF45" i="37"/>
  <c r="AF44" i="37"/>
  <c r="AF50" i="37"/>
  <c r="AF48" i="37"/>
  <c r="AB48" i="37"/>
  <c r="AB47" i="37"/>
  <c r="AB46" i="37"/>
  <c r="AB49" i="37"/>
  <c r="AB45" i="37"/>
  <c r="AB50" i="37"/>
  <c r="AB44" i="37"/>
  <c r="X47" i="37"/>
  <c r="X45" i="37"/>
  <c r="X44" i="37"/>
  <c r="X50" i="37"/>
  <c r="X49" i="37"/>
  <c r="X48" i="37"/>
  <c r="X46" i="37"/>
  <c r="T46" i="37"/>
  <c r="T45" i="37"/>
  <c r="T44" i="37"/>
  <c r="T48" i="37"/>
  <c r="T47" i="37"/>
  <c r="T50" i="37"/>
  <c r="T49" i="37"/>
  <c r="P45" i="37"/>
  <c r="P48" i="37"/>
  <c r="P46" i="37"/>
  <c r="P44" i="37"/>
  <c r="P50" i="37"/>
  <c r="P49" i="37"/>
  <c r="P47" i="37"/>
  <c r="L44" i="37"/>
  <c r="L50" i="37"/>
  <c r="L49" i="37"/>
  <c r="L48" i="37"/>
  <c r="L46" i="37"/>
  <c r="L45" i="37"/>
  <c r="L47" i="37"/>
  <c r="H50" i="37"/>
  <c r="H49" i="37"/>
  <c r="H47" i="37"/>
  <c r="H45" i="37"/>
  <c r="H44" i="37"/>
  <c r="H46" i="37"/>
  <c r="H48" i="37"/>
  <c r="D45" i="37"/>
  <c r="D44" i="37"/>
  <c r="D48" i="37"/>
  <c r="D47" i="37"/>
  <c r="D46" i="37"/>
  <c r="D50" i="37"/>
  <c r="D49" i="37"/>
  <c r="G4" i="37"/>
  <c r="J4" i="37" s="1"/>
  <c r="L30" i="39"/>
  <c r="K30" i="39"/>
  <c r="J30" i="39"/>
  <c r="F30" i="39"/>
  <c r="E30" i="39"/>
  <c r="M6" i="43"/>
  <c r="U6" i="43"/>
  <c r="I6" i="43"/>
  <c r="Y6" i="25"/>
  <c r="O13" i="40"/>
  <c r="M13" i="40"/>
  <c r="O6" i="25"/>
  <c r="N6" i="25"/>
  <c r="J6" i="25"/>
  <c r="L13" i="40"/>
  <c r="R6" i="25"/>
  <c r="F29" i="3" s="1"/>
  <c r="Q6" i="43"/>
  <c r="D4" i="23"/>
  <c r="B40" i="45"/>
  <c r="B47" i="45" s="1"/>
  <c r="B46" i="44"/>
  <c r="B25" i="23"/>
  <c r="F6" i="37"/>
  <c r="E6" i="37"/>
  <c r="AZ6" i="37"/>
  <c r="AZ23" i="37" s="1"/>
  <c r="E15" i="43" s="1"/>
  <c r="AN6" i="23"/>
  <c r="C6" i="25" s="1"/>
  <c r="I6" i="25" s="1"/>
  <c r="G3" i="37"/>
  <c r="D3" i="23"/>
  <c r="E3" i="23" s="1"/>
  <c r="N6" i="23"/>
  <c r="Z6" i="23"/>
  <c r="K6" i="23"/>
  <c r="AC6" i="23"/>
  <c r="AF6" i="23"/>
  <c r="D5" i="23"/>
  <c r="G5" i="37"/>
  <c r="F49" i="37" l="1"/>
  <c r="F50" i="37"/>
  <c r="F48" i="37"/>
  <c r="F47" i="37"/>
  <c r="F46" i="37"/>
  <c r="F45" i="37"/>
  <c r="F44" i="37"/>
  <c r="I4" i="37"/>
  <c r="G4" i="23" s="1"/>
  <c r="D11" i="23"/>
  <c r="E11" i="23" s="1"/>
  <c r="E4" i="23"/>
  <c r="E6" i="25"/>
  <c r="K13" i="40"/>
  <c r="D17" i="42" s="1"/>
  <c r="B17" i="42" s="1"/>
  <c r="F6" i="31"/>
  <c r="C6" i="47" s="1"/>
  <c r="F13" i="40"/>
  <c r="G13" i="40"/>
  <c r="H6" i="31"/>
  <c r="D6" i="47" s="1"/>
  <c r="T6" i="25"/>
  <c r="S6" i="25"/>
  <c r="N13" i="40"/>
  <c r="I13" i="40"/>
  <c r="L6" i="31"/>
  <c r="F6" i="47" s="1"/>
  <c r="X6" i="25"/>
  <c r="T51" i="37"/>
  <c r="P51" i="37"/>
  <c r="D51" i="37"/>
  <c r="AZ44" i="37"/>
  <c r="E44" i="37"/>
  <c r="AF51" i="37"/>
  <c r="AZ47" i="37"/>
  <c r="E47" i="37"/>
  <c r="AZ45" i="37"/>
  <c r="E45" i="37"/>
  <c r="AR51" i="37"/>
  <c r="L51" i="37"/>
  <c r="X51" i="37"/>
  <c r="E48" i="37"/>
  <c r="AZ48" i="37"/>
  <c r="AZ50" i="37"/>
  <c r="E50" i="37"/>
  <c r="AN51" i="37"/>
  <c r="AJ51" i="37"/>
  <c r="AB51" i="37"/>
  <c r="H51" i="37"/>
  <c r="AZ46" i="37"/>
  <c r="E46" i="37"/>
  <c r="AV51" i="37"/>
  <c r="E49" i="37"/>
  <c r="AZ49" i="37"/>
  <c r="J3" i="37"/>
  <c r="I3" i="37"/>
  <c r="AO6" i="23"/>
  <c r="I5" i="37"/>
  <c r="J5" i="37"/>
  <c r="G6" i="37"/>
  <c r="P30" i="39"/>
  <c r="E5" i="23"/>
  <c r="D12" i="23"/>
  <c r="K4" i="37" l="1"/>
  <c r="J6" i="31"/>
  <c r="E6" i="47" s="1"/>
  <c r="H13" i="40"/>
  <c r="D6" i="31"/>
  <c r="B6" i="47" s="1"/>
  <c r="E13" i="40"/>
  <c r="F51" i="37"/>
  <c r="G50" i="37"/>
  <c r="I50" i="37" s="1"/>
  <c r="J6" i="37"/>
  <c r="G45" i="37"/>
  <c r="I45" i="37" s="1"/>
  <c r="G47" i="37"/>
  <c r="I47" i="37" s="1"/>
  <c r="G48" i="37"/>
  <c r="I48" i="37" s="1"/>
  <c r="G44" i="37"/>
  <c r="E51" i="37"/>
  <c r="G49" i="37"/>
  <c r="I49" i="37" s="1"/>
  <c r="AZ51" i="37"/>
  <c r="G46" i="37"/>
  <c r="I46" i="37" s="1"/>
  <c r="K3" i="37"/>
  <c r="G3" i="23"/>
  <c r="H3" i="23" s="1"/>
  <c r="C29" i="3"/>
  <c r="M4" i="37"/>
  <c r="N4" i="37"/>
  <c r="E12" i="23"/>
  <c r="G11" i="23"/>
  <c r="H4" i="23"/>
  <c r="E7" i="23"/>
  <c r="E22" i="23" s="1"/>
  <c r="G5" i="23"/>
  <c r="K5" i="37"/>
  <c r="I6" i="37"/>
  <c r="J50" i="37" l="1"/>
  <c r="K50" i="37" s="1"/>
  <c r="M50" i="37" s="1"/>
  <c r="J49" i="37"/>
  <c r="J48" i="37"/>
  <c r="J47" i="37"/>
  <c r="K47" i="37" s="1"/>
  <c r="M47" i="37" s="1"/>
  <c r="J45" i="37"/>
  <c r="K45" i="37" s="1"/>
  <c r="M45" i="37" s="1"/>
  <c r="J46" i="37"/>
  <c r="J44" i="37"/>
  <c r="K46" i="37"/>
  <c r="M46" i="37" s="1"/>
  <c r="K49" i="37"/>
  <c r="M49" i="37" s="1"/>
  <c r="K48" i="37"/>
  <c r="M48" i="37" s="1"/>
  <c r="I44" i="37"/>
  <c r="G51" i="37"/>
  <c r="M3" i="37"/>
  <c r="N3" i="37"/>
  <c r="N5" i="37"/>
  <c r="M5" i="37"/>
  <c r="K6" i="37"/>
  <c r="H5" i="23"/>
  <c r="G12" i="23"/>
  <c r="D7" i="26"/>
  <c r="E21" i="23"/>
  <c r="E24" i="23"/>
  <c r="E20" i="23"/>
  <c r="E19" i="23"/>
  <c r="E18" i="23"/>
  <c r="E23" i="23"/>
  <c r="C4" i="44"/>
  <c r="D12" i="31"/>
  <c r="O4" i="37"/>
  <c r="J4" i="23"/>
  <c r="H11" i="23"/>
  <c r="E13" i="23"/>
  <c r="M6" i="37" l="1"/>
  <c r="N6" i="37"/>
  <c r="I51" i="37"/>
  <c r="K44" i="37"/>
  <c r="J51" i="37"/>
  <c r="O3" i="37"/>
  <c r="J3" i="23"/>
  <c r="K3" i="23" s="1"/>
  <c r="H12" i="23"/>
  <c r="R4" i="37"/>
  <c r="Q4" i="37"/>
  <c r="J11" i="23"/>
  <c r="K4" i="23"/>
  <c r="E25" i="23"/>
  <c r="D16" i="26"/>
  <c r="C5" i="44"/>
  <c r="F12" i="31"/>
  <c r="J5" i="23"/>
  <c r="O5" i="37"/>
  <c r="H7" i="23"/>
  <c r="N50" i="37" l="1"/>
  <c r="N46" i="37"/>
  <c r="O46" i="37" s="1"/>
  <c r="Q46" i="37" s="1"/>
  <c r="N49" i="37"/>
  <c r="O49" i="37" s="1"/>
  <c r="Q49" i="37" s="1"/>
  <c r="N45" i="37"/>
  <c r="O45" i="37" s="1"/>
  <c r="Q45" i="37" s="1"/>
  <c r="N48" i="37"/>
  <c r="O48" i="37" s="1"/>
  <c r="Q48" i="37" s="1"/>
  <c r="N47" i="37"/>
  <c r="O47" i="37" s="1"/>
  <c r="Q47" i="37" s="1"/>
  <c r="N44" i="37"/>
  <c r="H22" i="23"/>
  <c r="O50" i="37"/>
  <c r="Q50" i="37" s="1"/>
  <c r="M44" i="37"/>
  <c r="K51" i="37"/>
  <c r="Q3" i="37"/>
  <c r="R3" i="37"/>
  <c r="Q5" i="37"/>
  <c r="R5" i="37"/>
  <c r="O6" i="37"/>
  <c r="E7" i="26"/>
  <c r="H18" i="23"/>
  <c r="H19" i="23"/>
  <c r="H21" i="23"/>
  <c r="H23" i="23"/>
  <c r="H24" i="23"/>
  <c r="H20" i="23"/>
  <c r="D4" i="44"/>
  <c r="H12" i="31"/>
  <c r="C12" i="44"/>
  <c r="S4" i="37"/>
  <c r="M4" i="23"/>
  <c r="K5" i="23"/>
  <c r="J12" i="23"/>
  <c r="K11" i="23"/>
  <c r="H13" i="23"/>
  <c r="N51" i="37" l="1"/>
  <c r="O44" i="37"/>
  <c r="M51" i="37"/>
  <c r="H25" i="23"/>
  <c r="M3" i="23"/>
  <c r="N3" i="23" s="1"/>
  <c r="S3" i="37"/>
  <c r="J12" i="31"/>
  <c r="M11" i="23"/>
  <c r="N4" i="23"/>
  <c r="U4" i="37"/>
  <c r="V4" i="37"/>
  <c r="E16" i="26"/>
  <c r="D5" i="44"/>
  <c r="R6" i="37"/>
  <c r="K7" i="23"/>
  <c r="M5" i="23"/>
  <c r="S5" i="37"/>
  <c r="K12" i="23"/>
  <c r="Q6" i="37"/>
  <c r="R44" i="37" l="1"/>
  <c r="R46" i="37"/>
  <c r="S46" i="37" s="1"/>
  <c r="U46" i="37" s="1"/>
  <c r="R50" i="37"/>
  <c r="S50" i="37" s="1"/>
  <c r="U50" i="37" s="1"/>
  <c r="R45" i="37"/>
  <c r="S45" i="37" s="1"/>
  <c r="U45" i="37" s="1"/>
  <c r="R49" i="37"/>
  <c r="S49" i="37" s="1"/>
  <c r="U49" i="37" s="1"/>
  <c r="R48" i="37"/>
  <c r="S48" i="37" s="1"/>
  <c r="U48" i="37" s="1"/>
  <c r="R47" i="37"/>
  <c r="S47" i="37" s="1"/>
  <c r="U47" i="37" s="1"/>
  <c r="K22" i="23"/>
  <c r="Q44" i="37"/>
  <c r="O51" i="37"/>
  <c r="V3" i="37"/>
  <c r="U3" i="37"/>
  <c r="M12" i="23"/>
  <c r="N5" i="23"/>
  <c r="N7" i="23" s="1"/>
  <c r="F7" i="26"/>
  <c r="K20" i="23"/>
  <c r="K18" i="23"/>
  <c r="K23" i="23"/>
  <c r="K19" i="23"/>
  <c r="E4" i="44"/>
  <c r="K21" i="23"/>
  <c r="K24" i="23"/>
  <c r="N11" i="23"/>
  <c r="U5" i="37"/>
  <c r="V5" i="37"/>
  <c r="S6" i="37"/>
  <c r="L12" i="31"/>
  <c r="D12" i="44"/>
  <c r="K13" i="23"/>
  <c r="P4" i="23"/>
  <c r="W4" i="37"/>
  <c r="N22" i="23" l="1"/>
  <c r="Q51" i="37"/>
  <c r="S44" i="37"/>
  <c r="R51" i="37"/>
  <c r="P3" i="23"/>
  <c r="Q3" i="23" s="1"/>
  <c r="W3" i="37"/>
  <c r="V6" i="37"/>
  <c r="F16" i="26"/>
  <c r="E5" i="44"/>
  <c r="F5" i="44" s="1"/>
  <c r="P5" i="23"/>
  <c r="W5" i="37"/>
  <c r="U6" i="37"/>
  <c r="K25" i="23"/>
  <c r="Y4" i="37"/>
  <c r="Z4" i="37"/>
  <c r="P11" i="23"/>
  <c r="Q4" i="23"/>
  <c r="G7" i="26"/>
  <c r="N20" i="23"/>
  <c r="H4" i="44"/>
  <c r="N19" i="23"/>
  <c r="N21" i="23"/>
  <c r="N18" i="23"/>
  <c r="N23" i="23"/>
  <c r="N24" i="23"/>
  <c r="F4" i="44"/>
  <c r="N12" i="23"/>
  <c r="N13" i="23" s="1"/>
  <c r="V45" i="37" l="1"/>
  <c r="V44" i="37"/>
  <c r="V48" i="37"/>
  <c r="V50" i="37"/>
  <c r="W50" i="37" s="1"/>
  <c r="Y50" i="37" s="1"/>
  <c r="V47" i="37"/>
  <c r="W47" i="37" s="1"/>
  <c r="Y47" i="37" s="1"/>
  <c r="V49" i="37"/>
  <c r="W49" i="37" s="1"/>
  <c r="Y49" i="37" s="1"/>
  <c r="V46" i="37"/>
  <c r="W46" i="37" s="1"/>
  <c r="Y46" i="37" s="1"/>
  <c r="W48" i="37"/>
  <c r="Y48" i="37" s="1"/>
  <c r="W45" i="37"/>
  <c r="Y45" i="37" s="1"/>
  <c r="U44" i="37"/>
  <c r="S51" i="37"/>
  <c r="Y3" i="37"/>
  <c r="Z3" i="37"/>
  <c r="E12" i="44"/>
  <c r="Z5" i="37"/>
  <c r="Y5" i="37"/>
  <c r="F12" i="44"/>
  <c r="C13" i="44"/>
  <c r="D14" i="44"/>
  <c r="E14" i="44"/>
  <c r="F14" i="44"/>
  <c r="E13" i="44"/>
  <c r="C14" i="44"/>
  <c r="F13" i="44"/>
  <c r="D13" i="44"/>
  <c r="P12" i="23"/>
  <c r="Q5" i="23"/>
  <c r="W6" i="37"/>
  <c r="H5" i="44"/>
  <c r="G16" i="26"/>
  <c r="AA4" i="37"/>
  <c r="S4" i="23"/>
  <c r="N25" i="23"/>
  <c r="Q11" i="23"/>
  <c r="U51" i="37" l="1"/>
  <c r="W44" i="37"/>
  <c r="V51" i="37"/>
  <c r="AA3" i="37"/>
  <c r="S3" i="23"/>
  <c r="T3" i="23" s="1"/>
  <c r="AD4" i="37"/>
  <c r="AC4" i="37"/>
  <c r="Q12" i="23"/>
  <c r="Q13" i="23" s="1"/>
  <c r="H12" i="44"/>
  <c r="S5" i="23"/>
  <c r="AA5" i="37"/>
  <c r="Y6" i="37"/>
  <c r="Q7" i="23"/>
  <c r="T4" i="23"/>
  <c r="S11" i="23"/>
  <c r="Z6" i="37"/>
  <c r="Z46" i="37" l="1"/>
  <c r="Z45" i="37"/>
  <c r="Z44" i="37"/>
  <c r="Z49" i="37"/>
  <c r="AA49" i="37" s="1"/>
  <c r="AC49" i="37" s="1"/>
  <c r="Z48" i="37"/>
  <c r="AA48" i="37" s="1"/>
  <c r="AC48" i="37" s="1"/>
  <c r="Z50" i="37"/>
  <c r="AA50" i="37" s="1"/>
  <c r="AC50" i="37" s="1"/>
  <c r="Z47" i="37"/>
  <c r="AA47" i="37" s="1"/>
  <c r="AC47" i="37" s="1"/>
  <c r="Q22" i="23"/>
  <c r="Y44" i="37"/>
  <c r="W51" i="37"/>
  <c r="AA46" i="37"/>
  <c r="AC46" i="37" s="1"/>
  <c r="AA45" i="37"/>
  <c r="AC45" i="37" s="1"/>
  <c r="AC3" i="37"/>
  <c r="AD3" i="37"/>
  <c r="AC5" i="37"/>
  <c r="AD5" i="37"/>
  <c r="S12" i="23"/>
  <c r="T5" i="23"/>
  <c r="I5" i="44"/>
  <c r="H16" i="26"/>
  <c r="T11" i="23"/>
  <c r="AA6" i="37"/>
  <c r="AE4" i="37"/>
  <c r="V4" i="23"/>
  <c r="H7" i="26"/>
  <c r="Q24" i="23"/>
  <c r="I4" i="44"/>
  <c r="Q23" i="23"/>
  <c r="Q20" i="23"/>
  <c r="Q21" i="23"/>
  <c r="Q19" i="23"/>
  <c r="Q18" i="23"/>
  <c r="AC6" i="37" l="1"/>
  <c r="Z51" i="37"/>
  <c r="Y51" i="37"/>
  <c r="AA44" i="37"/>
  <c r="Q25" i="23"/>
  <c r="V3" i="23"/>
  <c r="W3" i="23" s="1"/>
  <c r="AE3" i="37"/>
  <c r="V11" i="23"/>
  <c r="W4" i="23"/>
  <c r="AG4" i="37"/>
  <c r="AH4" i="37"/>
  <c r="T7" i="23"/>
  <c r="T12" i="23"/>
  <c r="T13" i="23" s="1"/>
  <c r="I12" i="44"/>
  <c r="AD6" i="37"/>
  <c r="AE5" i="37"/>
  <c r="V5" i="23"/>
  <c r="AD47" i="37" l="1"/>
  <c r="AD46" i="37"/>
  <c r="AD50" i="37"/>
  <c r="AD45" i="37"/>
  <c r="AD48" i="37"/>
  <c r="AE48" i="37" s="1"/>
  <c r="AG48" i="37" s="1"/>
  <c r="AD44" i="37"/>
  <c r="AD49" i="37"/>
  <c r="AE49" i="37" s="1"/>
  <c r="AG49" i="37" s="1"/>
  <c r="T22" i="23"/>
  <c r="AC44" i="37"/>
  <c r="AA51" i="37"/>
  <c r="AE50" i="37"/>
  <c r="AG50" i="37" s="1"/>
  <c r="AE46" i="37"/>
  <c r="AG46" i="37" s="1"/>
  <c r="AE45" i="37"/>
  <c r="AG45" i="37" s="1"/>
  <c r="AE47" i="37"/>
  <c r="AG47" i="37" s="1"/>
  <c r="AG3" i="37"/>
  <c r="AH3" i="37"/>
  <c r="T21" i="23"/>
  <c r="T24" i="23"/>
  <c r="J4" i="44"/>
  <c r="T20" i="23"/>
  <c r="I7" i="26"/>
  <c r="T23" i="23"/>
  <c r="T18" i="23"/>
  <c r="T19" i="23"/>
  <c r="I16" i="26"/>
  <c r="J5" i="44"/>
  <c r="K5" i="44" s="1"/>
  <c r="W5" i="23"/>
  <c r="W7" i="23" s="1"/>
  <c r="V12" i="23"/>
  <c r="AH5" i="37"/>
  <c r="AG5" i="37"/>
  <c r="AE6" i="37"/>
  <c r="Y4" i="23"/>
  <c r="AI4" i="37"/>
  <c r="W11" i="23"/>
  <c r="W22" i="23" l="1"/>
  <c r="AD51" i="37"/>
  <c r="AC51" i="37"/>
  <c r="AE44" i="37"/>
  <c r="T25" i="23"/>
  <c r="Y3" i="23"/>
  <c r="Z3" i="23" s="1"/>
  <c r="AI3" i="37"/>
  <c r="AI5" i="37"/>
  <c r="Y5" i="23"/>
  <c r="AG6" i="37"/>
  <c r="J7" i="26"/>
  <c r="M4" i="44"/>
  <c r="W19" i="23"/>
  <c r="W23" i="23"/>
  <c r="W21" i="23"/>
  <c r="W20" i="23"/>
  <c r="W24" i="23"/>
  <c r="W18" i="23"/>
  <c r="W12" i="23"/>
  <c r="J12" i="44"/>
  <c r="K4" i="44"/>
  <c r="AK4" i="37"/>
  <c r="AL4" i="37"/>
  <c r="AH6" i="37"/>
  <c r="Y11" i="23"/>
  <c r="Z4" i="23"/>
  <c r="AH48" i="37" l="1"/>
  <c r="AI48" i="37" s="1"/>
  <c r="AK48" i="37" s="1"/>
  <c r="AH47" i="37"/>
  <c r="AI47" i="37" s="1"/>
  <c r="AK47" i="37" s="1"/>
  <c r="AH46" i="37"/>
  <c r="AI46" i="37" s="1"/>
  <c r="AK46" i="37" s="1"/>
  <c r="AH49" i="37"/>
  <c r="AI49" i="37" s="1"/>
  <c r="AK49" i="37" s="1"/>
  <c r="AH45" i="37"/>
  <c r="AI45" i="37" s="1"/>
  <c r="AK45" i="37" s="1"/>
  <c r="AH50" i="37"/>
  <c r="AI50" i="37" s="1"/>
  <c r="AK50" i="37" s="1"/>
  <c r="AH44" i="37"/>
  <c r="AG44" i="37"/>
  <c r="AE51" i="37"/>
  <c r="AK3" i="37"/>
  <c r="AL3" i="37"/>
  <c r="Y12" i="23"/>
  <c r="Z5" i="23"/>
  <c r="AB4" i="23"/>
  <c r="AM4" i="37"/>
  <c r="AL5" i="37"/>
  <c r="AK5" i="37"/>
  <c r="AI6" i="37"/>
  <c r="K12" i="44"/>
  <c r="I14" i="44"/>
  <c r="K13" i="44"/>
  <c r="J14" i="44"/>
  <c r="H13" i="44"/>
  <c r="I13" i="44"/>
  <c r="K14" i="44"/>
  <c r="J13" i="44"/>
  <c r="H14" i="44"/>
  <c r="W25" i="23"/>
  <c r="Z11" i="23"/>
  <c r="W13" i="23"/>
  <c r="AH51" i="37" l="1"/>
  <c r="AI44" i="37"/>
  <c r="AG51" i="37"/>
  <c r="AB3" i="23"/>
  <c r="AC3" i="23" s="1"/>
  <c r="AM3" i="37"/>
  <c r="AO4" i="37"/>
  <c r="AP4" i="37"/>
  <c r="AM5" i="37"/>
  <c r="AB5" i="23"/>
  <c r="M5" i="44"/>
  <c r="J16" i="26"/>
  <c r="AC4" i="23"/>
  <c r="AB11" i="23"/>
  <c r="AK6" i="37"/>
  <c r="Z7" i="23"/>
  <c r="AL6" i="37"/>
  <c r="Z12" i="23"/>
  <c r="Z13" i="23" s="1"/>
  <c r="N5" i="44" s="1"/>
  <c r="AL49" i="37" l="1"/>
  <c r="AM49" i="37" s="1"/>
  <c r="AO49" i="37" s="1"/>
  <c r="AL48" i="37"/>
  <c r="AL50" i="37"/>
  <c r="AL47" i="37"/>
  <c r="AM47" i="37" s="1"/>
  <c r="AO47" i="37" s="1"/>
  <c r="AL44" i="37"/>
  <c r="AL46" i="37"/>
  <c r="AM46" i="37" s="1"/>
  <c r="AO46" i="37" s="1"/>
  <c r="AL45" i="37"/>
  <c r="AM45" i="37" s="1"/>
  <c r="AO45" i="37" s="1"/>
  <c r="Z22" i="23"/>
  <c r="AK44" i="37"/>
  <c r="AI51" i="37"/>
  <c r="AM48" i="37"/>
  <c r="AO48" i="37" s="1"/>
  <c r="AM50" i="37"/>
  <c r="AO50" i="37" s="1"/>
  <c r="AP3" i="37"/>
  <c r="AO3" i="37"/>
  <c r="M12" i="44"/>
  <c r="K7" i="26"/>
  <c r="Z18" i="23"/>
  <c r="Z24" i="23"/>
  <c r="N4" i="44"/>
  <c r="Z23" i="23"/>
  <c r="Z19" i="23"/>
  <c r="Z21" i="23"/>
  <c r="Z20" i="23"/>
  <c r="AC11" i="23"/>
  <c r="AB12" i="23"/>
  <c r="AC5" i="23"/>
  <c r="AP5" i="37"/>
  <c r="AO5" i="37"/>
  <c r="AM6" i="37"/>
  <c r="AQ4" i="37"/>
  <c r="AE4" i="23"/>
  <c r="AL51" i="37" l="1"/>
  <c r="AM44" i="37"/>
  <c r="AK51" i="37"/>
  <c r="AE3" i="23"/>
  <c r="AF3" i="23" s="1"/>
  <c r="AQ3" i="37"/>
  <c r="AC12" i="23"/>
  <c r="N12" i="44"/>
  <c r="AC7" i="23"/>
  <c r="Z25" i="23"/>
  <c r="L16" i="26"/>
  <c r="AF4" i="23"/>
  <c r="AE11" i="23"/>
  <c r="AQ5" i="37"/>
  <c r="AE5" i="23"/>
  <c r="AO6" i="37"/>
  <c r="AS4" i="37"/>
  <c r="AT4" i="37"/>
  <c r="AP6" i="37"/>
  <c r="AP50" i="37" l="1"/>
  <c r="AP44" i="37"/>
  <c r="AP49" i="37"/>
  <c r="AQ49" i="37" s="1"/>
  <c r="AS49" i="37" s="1"/>
  <c r="AP48" i="37"/>
  <c r="AQ48" i="37" s="1"/>
  <c r="AS48" i="37" s="1"/>
  <c r="AP47" i="37"/>
  <c r="AQ47" i="37" s="1"/>
  <c r="AS47" i="37" s="1"/>
  <c r="AP45" i="37"/>
  <c r="AQ45" i="37" s="1"/>
  <c r="AS45" i="37" s="1"/>
  <c r="AP46" i="37"/>
  <c r="AQ46" i="37" s="1"/>
  <c r="AS46" i="37" s="1"/>
  <c r="AC22" i="23"/>
  <c r="AQ6" i="37"/>
  <c r="AQ50" i="37"/>
  <c r="AS50" i="37" s="1"/>
  <c r="AO44" i="37"/>
  <c r="AM51" i="37"/>
  <c r="AS3" i="37"/>
  <c r="AT3" i="37"/>
  <c r="AS5" i="37"/>
  <c r="AT5" i="37"/>
  <c r="L7" i="26"/>
  <c r="AC18" i="23"/>
  <c r="O4" i="44"/>
  <c r="AC24" i="23"/>
  <c r="AC20" i="23"/>
  <c r="AC21" i="23"/>
  <c r="AC19" i="23"/>
  <c r="AC23" i="23"/>
  <c r="AF11" i="23"/>
  <c r="AU4" i="37"/>
  <c r="AH4" i="23"/>
  <c r="AC13" i="23"/>
  <c r="AF5" i="23"/>
  <c r="AE12" i="23"/>
  <c r="AP51" i="37" l="1"/>
  <c r="AO51" i="37"/>
  <c r="AQ44" i="37"/>
  <c r="AT6" i="37"/>
  <c r="AH3" i="23"/>
  <c r="AI3" i="23" s="1"/>
  <c r="AU3" i="37"/>
  <c r="AH11" i="23"/>
  <c r="AI4" i="23"/>
  <c r="AW4" i="37"/>
  <c r="AX4" i="37"/>
  <c r="BB4" i="37" s="1"/>
  <c r="F4" i="43" s="1"/>
  <c r="F30" i="43" s="1"/>
  <c r="P4" i="44"/>
  <c r="AC25" i="23"/>
  <c r="AF12" i="23"/>
  <c r="AF13" i="23" s="1"/>
  <c r="AF7" i="23"/>
  <c r="O5" i="44"/>
  <c r="P5" i="44" s="1"/>
  <c r="AH5" i="23"/>
  <c r="AU5" i="37"/>
  <c r="AS6" i="37"/>
  <c r="AT50" i="37" l="1"/>
  <c r="AU50" i="37" s="1"/>
  <c r="AW50" i="37" s="1"/>
  <c r="BA50" i="37" s="1"/>
  <c r="AT49" i="37"/>
  <c r="AU49" i="37" s="1"/>
  <c r="AW49" i="37" s="1"/>
  <c r="BA49" i="37" s="1"/>
  <c r="AT48" i="37"/>
  <c r="AT47" i="37"/>
  <c r="AU47" i="37" s="1"/>
  <c r="AW47" i="37" s="1"/>
  <c r="BA47" i="37" s="1"/>
  <c r="AT46" i="37"/>
  <c r="AU46" i="37" s="1"/>
  <c r="AW46" i="37" s="1"/>
  <c r="BA46" i="37" s="1"/>
  <c r="AT44" i="37"/>
  <c r="AT45" i="37"/>
  <c r="AU45" i="37" s="1"/>
  <c r="AW45" i="37" s="1"/>
  <c r="BA45" i="37" s="1"/>
  <c r="AF22" i="23"/>
  <c r="AS44" i="37"/>
  <c r="AQ51" i="37"/>
  <c r="AU48" i="37"/>
  <c r="AW48" i="37" s="1"/>
  <c r="BA48" i="37" s="1"/>
  <c r="O12" i="44"/>
  <c r="AW3" i="37"/>
  <c r="AX3" i="37"/>
  <c r="BB3" i="37" s="1"/>
  <c r="F3" i="43" s="1"/>
  <c r="AW5" i="37"/>
  <c r="AX5" i="37"/>
  <c r="BB5" i="37" s="1"/>
  <c r="F5" i="43" s="1"/>
  <c r="F31" i="43" s="1"/>
  <c r="P12" i="44"/>
  <c r="O14" i="44"/>
  <c r="P14" i="44"/>
  <c r="P13" i="44"/>
  <c r="N13" i="44"/>
  <c r="N14" i="44"/>
  <c r="O13" i="44"/>
  <c r="M13" i="44"/>
  <c r="M14" i="44"/>
  <c r="AH12" i="23"/>
  <c r="AI5" i="23"/>
  <c r="R5" i="44"/>
  <c r="M16" i="26"/>
  <c r="AU6" i="37"/>
  <c r="G36" i="43"/>
  <c r="B14" i="46" s="1"/>
  <c r="B10" i="46"/>
  <c r="B18" i="46"/>
  <c r="AI11" i="23"/>
  <c r="BE4" i="37"/>
  <c r="H4" i="43" s="1"/>
  <c r="AK4" i="23"/>
  <c r="BA4" i="37"/>
  <c r="M7" i="26"/>
  <c r="AF18" i="23"/>
  <c r="AF23" i="23"/>
  <c r="AF24" i="23"/>
  <c r="R4" i="44"/>
  <c r="AF20" i="23"/>
  <c r="AF19" i="23"/>
  <c r="AF21" i="23"/>
  <c r="AT51" i="37" l="1"/>
  <c r="AU44" i="37"/>
  <c r="AS51" i="37"/>
  <c r="BB6" i="37"/>
  <c r="BE3" i="37"/>
  <c r="H3" i="43" s="1"/>
  <c r="K35" i="43" s="1"/>
  <c r="C13" i="46" s="1"/>
  <c r="AK3" i="23"/>
  <c r="BA3" i="37"/>
  <c r="K4" i="43"/>
  <c r="H4" i="25" s="1"/>
  <c r="J4" i="43"/>
  <c r="L4" i="43" s="1"/>
  <c r="K36" i="43"/>
  <c r="C14" i="46" s="1"/>
  <c r="AF25" i="23"/>
  <c r="F29" i="43"/>
  <c r="F6" i="43"/>
  <c r="G4" i="43"/>
  <c r="G46" i="43"/>
  <c r="AI7" i="23"/>
  <c r="AI12" i="23"/>
  <c r="G37" i="43"/>
  <c r="B15" i="46" s="1"/>
  <c r="B11" i="46"/>
  <c r="B19" i="46"/>
  <c r="AX6" i="37"/>
  <c r="R12" i="44"/>
  <c r="AK11" i="23"/>
  <c r="AL4" i="23"/>
  <c r="AO4" i="23" s="1"/>
  <c r="AN4" i="23"/>
  <c r="R13" i="44"/>
  <c r="BE5" i="37"/>
  <c r="H5" i="43" s="1"/>
  <c r="AK5" i="23"/>
  <c r="BA5" i="37"/>
  <c r="AW6" i="37"/>
  <c r="AX44" i="37" l="1"/>
  <c r="AX50" i="37"/>
  <c r="AX46" i="37"/>
  <c r="AX45" i="37"/>
  <c r="AX49" i="37"/>
  <c r="AX48" i="37"/>
  <c r="AX47" i="37"/>
  <c r="AI22" i="23"/>
  <c r="AW44" i="37"/>
  <c r="AU51" i="37"/>
  <c r="J3" i="43"/>
  <c r="L3" i="43" s="1"/>
  <c r="O35" i="43" s="1"/>
  <c r="D13" i="46" s="1"/>
  <c r="K3" i="43"/>
  <c r="H3" i="25" s="1"/>
  <c r="J3" i="25" s="1"/>
  <c r="G3" i="43"/>
  <c r="G45" i="43"/>
  <c r="AL3" i="23"/>
  <c r="AO3" i="23" s="1"/>
  <c r="AN3" i="23"/>
  <c r="C3" i="25" s="1"/>
  <c r="E3" i="25" s="1"/>
  <c r="O36" i="43"/>
  <c r="D14" i="46" s="1"/>
  <c r="O4" i="43"/>
  <c r="M4" i="25" s="1"/>
  <c r="N4" i="43"/>
  <c r="P4" i="43" s="1"/>
  <c r="C42" i="46"/>
  <c r="K46" i="43"/>
  <c r="G47" i="43"/>
  <c r="G5" i="43"/>
  <c r="BA6" i="37"/>
  <c r="AK12" i="23"/>
  <c r="AL5" i="23"/>
  <c r="AN5" i="23"/>
  <c r="J5" i="43"/>
  <c r="K5" i="43"/>
  <c r="H5" i="25" s="1"/>
  <c r="K37" i="43"/>
  <c r="C15" i="46" s="1"/>
  <c r="N7" i="26"/>
  <c r="S4" i="44"/>
  <c r="AI18" i="23"/>
  <c r="AI19" i="23"/>
  <c r="AI21" i="23"/>
  <c r="AI20" i="23"/>
  <c r="AI23" i="23"/>
  <c r="AI24" i="23"/>
  <c r="BE6" i="37"/>
  <c r="AR4" i="23"/>
  <c r="C4" i="25"/>
  <c r="I4" i="25" s="1"/>
  <c r="H6" i="43"/>
  <c r="J4" i="25"/>
  <c r="L14" i="40"/>
  <c r="AI13" i="23"/>
  <c r="AL11" i="23"/>
  <c r="AN11" i="23"/>
  <c r="C10" i="25" s="1"/>
  <c r="G35" i="43"/>
  <c r="B13" i="46" s="1"/>
  <c r="B17" i="46"/>
  <c r="B9" i="46"/>
  <c r="K45" i="43" l="1"/>
  <c r="J6" i="43"/>
  <c r="C41" i="46"/>
  <c r="O3" i="43"/>
  <c r="M3" i="25" s="1"/>
  <c r="O3" i="25" s="1"/>
  <c r="AW51" i="37"/>
  <c r="BA44" i="37"/>
  <c r="AX51" i="37"/>
  <c r="G6" i="43"/>
  <c r="N3" i="43"/>
  <c r="P3" i="43" s="1"/>
  <c r="S35" i="43" s="1"/>
  <c r="E13" i="46" s="1"/>
  <c r="G48" i="43"/>
  <c r="L5" i="43"/>
  <c r="K47" i="43" s="1"/>
  <c r="AI25" i="23"/>
  <c r="K6" i="43"/>
  <c r="S4" i="43"/>
  <c r="R4" i="25" s="1"/>
  <c r="R4" i="43"/>
  <c r="T4" i="43" s="1"/>
  <c r="S46" i="43" s="1"/>
  <c r="S36" i="43"/>
  <c r="E14" i="46" s="1"/>
  <c r="D42" i="46"/>
  <c r="O46" i="43"/>
  <c r="AO5" i="23"/>
  <c r="AO7" i="23" s="1"/>
  <c r="AL7" i="23"/>
  <c r="S5" i="44"/>
  <c r="N16" i="26"/>
  <c r="AR5" i="23"/>
  <c r="C5" i="25"/>
  <c r="I5" i="25" s="1"/>
  <c r="O4" i="25"/>
  <c r="M14" i="40"/>
  <c r="N4" i="25"/>
  <c r="F4" i="31"/>
  <c r="C4" i="47" s="1"/>
  <c r="F14" i="40"/>
  <c r="AL12" i="23"/>
  <c r="AO12" i="23" s="1"/>
  <c r="AN12" i="23"/>
  <c r="C11" i="25" s="1"/>
  <c r="H10" i="25"/>
  <c r="E10" i="25"/>
  <c r="K14" i="40"/>
  <c r="E4" i="25"/>
  <c r="J5" i="25"/>
  <c r="J7" i="25" s="1"/>
  <c r="K4" i="25" s="1"/>
  <c r="L15" i="40"/>
  <c r="L16" i="40" s="1"/>
  <c r="BA51" i="37" l="1"/>
  <c r="K48" i="43"/>
  <c r="AL22" i="23"/>
  <c r="O45" i="43"/>
  <c r="D41" i="46"/>
  <c r="AL13" i="23"/>
  <c r="O37" i="43"/>
  <c r="D15" i="46" s="1"/>
  <c r="N5" i="43"/>
  <c r="P5" i="43" s="1"/>
  <c r="O47" i="43" s="1"/>
  <c r="O5" i="43"/>
  <c r="M5" i="25" s="1"/>
  <c r="O5" i="25" s="1"/>
  <c r="O7" i="25" s="1"/>
  <c r="P3" i="25" s="1"/>
  <c r="R3" i="43"/>
  <c r="T3" i="43" s="1"/>
  <c r="S3" i="43"/>
  <c r="R3" i="25" s="1"/>
  <c r="T3" i="25" s="1"/>
  <c r="L6" i="43"/>
  <c r="C40" i="46" s="1"/>
  <c r="C43" i="46"/>
  <c r="O7" i="26"/>
  <c r="T4" i="44"/>
  <c r="AL24" i="23"/>
  <c r="AL21" i="23"/>
  <c r="AL18" i="23"/>
  <c r="AL23" i="23"/>
  <c r="AL19" i="23"/>
  <c r="AL20" i="23"/>
  <c r="K6" i="25"/>
  <c r="E7" i="30"/>
  <c r="D4" i="45"/>
  <c r="K3" i="25"/>
  <c r="D4" i="31"/>
  <c r="B4" i="47" s="1"/>
  <c r="E14" i="40"/>
  <c r="M10" i="25"/>
  <c r="I10" i="25"/>
  <c r="J10" i="25"/>
  <c r="E11" i="25"/>
  <c r="E12" i="25" s="1"/>
  <c r="C34" i="3" s="1"/>
  <c r="D8" i="31" s="1"/>
  <c r="H11" i="25"/>
  <c r="K5" i="25"/>
  <c r="F15" i="40"/>
  <c r="F16" i="40" s="1"/>
  <c r="F5" i="31"/>
  <c r="H4" i="31"/>
  <c r="D4" i="47" s="1"/>
  <c r="G14" i="40"/>
  <c r="S13" i="44"/>
  <c r="V4" i="43"/>
  <c r="X4" i="43" s="1"/>
  <c r="F42" i="46" s="1"/>
  <c r="W4" i="43"/>
  <c r="W4" i="25" s="1"/>
  <c r="W36" i="43"/>
  <c r="F14" i="46" s="1"/>
  <c r="E42" i="46"/>
  <c r="E5" i="25"/>
  <c r="E7" i="25" s="1"/>
  <c r="K15" i="40"/>
  <c r="K16" i="40" s="1"/>
  <c r="S12" i="44"/>
  <c r="AO13" i="23"/>
  <c r="N14" i="40"/>
  <c r="T4" i="25"/>
  <c r="S4" i="25"/>
  <c r="F7" i="31" l="1"/>
  <c r="C5" i="47"/>
  <c r="C7" i="47" s="1"/>
  <c r="C6" i="40"/>
  <c r="L6" i="40" s="1"/>
  <c r="C7" i="40"/>
  <c r="L7" i="40" s="1"/>
  <c r="C5" i="40"/>
  <c r="O48" i="43"/>
  <c r="O16" i="26"/>
  <c r="Q16" i="26" s="1"/>
  <c r="D17" i="30" s="1"/>
  <c r="D43" i="46"/>
  <c r="S37" i="43"/>
  <c r="E15" i="46" s="1"/>
  <c r="S5" i="43"/>
  <c r="R5" i="25" s="1"/>
  <c r="S5" i="25" s="1"/>
  <c r="R5" i="43"/>
  <c r="T5" i="43" s="1"/>
  <c r="V5" i="43" s="1"/>
  <c r="X5" i="43" s="1"/>
  <c r="F43" i="46" s="1"/>
  <c r="N5" i="25"/>
  <c r="N6" i="43"/>
  <c r="O6" i="43"/>
  <c r="M15" i="40"/>
  <c r="M16" i="40" s="1"/>
  <c r="T5" i="44"/>
  <c r="U5" i="44" s="1"/>
  <c r="W5" i="44" s="1"/>
  <c r="C5" i="45" s="1"/>
  <c r="P6" i="43"/>
  <c r="D40" i="46" s="1"/>
  <c r="P4" i="25"/>
  <c r="G15" i="40"/>
  <c r="G16" i="40" s="1"/>
  <c r="P5" i="25"/>
  <c r="H5" i="31"/>
  <c r="M11" i="25"/>
  <c r="J11" i="25"/>
  <c r="J12" i="25" s="1"/>
  <c r="E41" i="46"/>
  <c r="W3" i="43"/>
  <c r="V3" i="43"/>
  <c r="W35" i="43"/>
  <c r="F13" i="46" s="1"/>
  <c r="S45" i="43"/>
  <c r="AL25" i="23"/>
  <c r="E14" i="25"/>
  <c r="F6" i="25"/>
  <c r="F3" i="25"/>
  <c r="X4" i="25"/>
  <c r="Y4" i="25"/>
  <c r="O14" i="40"/>
  <c r="O10" i="25"/>
  <c r="N10" i="25"/>
  <c r="R10" i="25"/>
  <c r="W46" i="43"/>
  <c r="F4" i="25"/>
  <c r="Q7" i="26"/>
  <c r="D7" i="30" s="1"/>
  <c r="F7" i="30"/>
  <c r="P6" i="25"/>
  <c r="E4" i="45"/>
  <c r="U4" i="44"/>
  <c r="J4" i="31"/>
  <c r="E4" i="47" s="1"/>
  <c r="H14" i="40"/>
  <c r="E15" i="40"/>
  <c r="E16" i="40" s="1"/>
  <c r="D5" i="31"/>
  <c r="F5" i="25"/>
  <c r="K7" i="25"/>
  <c r="C8" i="40" l="1"/>
  <c r="K6" i="40"/>
  <c r="L5" i="40"/>
  <c r="L8" i="40" s="1"/>
  <c r="K7" i="40"/>
  <c r="K5" i="40"/>
  <c r="K8" i="40" s="1"/>
  <c r="F7" i="40"/>
  <c r="U7" i="40" s="1"/>
  <c r="H7" i="31"/>
  <c r="D5" i="47"/>
  <c r="D7" i="47" s="1"/>
  <c r="F5" i="40"/>
  <c r="D7" i="31"/>
  <c r="D9" i="31" s="1"/>
  <c r="D63" i="31" s="1"/>
  <c r="B5" i="47"/>
  <c r="B7" i="47" s="1"/>
  <c r="F6" i="40"/>
  <c r="U6" i="40" s="1"/>
  <c r="M7" i="40"/>
  <c r="R6" i="43"/>
  <c r="N15" i="40"/>
  <c r="N16" i="40" s="1"/>
  <c r="N7" i="40" s="1"/>
  <c r="T5" i="25"/>
  <c r="T7" i="25" s="1"/>
  <c r="U4" i="25" s="1"/>
  <c r="S6" i="43"/>
  <c r="T12" i="44"/>
  <c r="M6" i="40"/>
  <c r="M5" i="40"/>
  <c r="E43" i="46"/>
  <c r="T13" i="44"/>
  <c r="P7" i="25"/>
  <c r="W5" i="43"/>
  <c r="W5" i="25" s="1"/>
  <c r="O15" i="40" s="1"/>
  <c r="O16" i="40" s="1"/>
  <c r="S47" i="43"/>
  <c r="S48" i="43" s="1"/>
  <c r="W37" i="43"/>
  <c r="F15" i="46" s="1"/>
  <c r="T6" i="43"/>
  <c r="E40" i="46" s="1"/>
  <c r="V6" i="43"/>
  <c r="D34" i="3"/>
  <c r="D5" i="45"/>
  <c r="D15" i="45" s="1"/>
  <c r="J14" i="25"/>
  <c r="F7" i="25"/>
  <c r="G7" i="40"/>
  <c r="G6" i="40"/>
  <c r="G5" i="40"/>
  <c r="B4" i="46"/>
  <c r="B6" i="46"/>
  <c r="B7" i="46"/>
  <c r="R11" i="25"/>
  <c r="O11" i="25"/>
  <c r="O12" i="25" s="1"/>
  <c r="X3" i="43"/>
  <c r="E5" i="40"/>
  <c r="E7" i="40"/>
  <c r="E6" i="40"/>
  <c r="T6" i="40" s="1"/>
  <c r="W3" i="25"/>
  <c r="Y3" i="25" s="1"/>
  <c r="W47" i="43"/>
  <c r="U12" i="44"/>
  <c r="W12" i="44" s="1"/>
  <c r="C12" i="45" s="1"/>
  <c r="S14" i="44"/>
  <c r="U14" i="44"/>
  <c r="W14" i="44" s="1"/>
  <c r="C14" i="45" s="1"/>
  <c r="R14" i="44"/>
  <c r="T14" i="44"/>
  <c r="W4" i="44"/>
  <c r="U13" i="44"/>
  <c r="W13" i="44" s="1"/>
  <c r="C13" i="45" s="1"/>
  <c r="S10" i="25"/>
  <c r="T10" i="25"/>
  <c r="W10" i="25"/>
  <c r="I14" i="40"/>
  <c r="L4" i="31"/>
  <c r="F4" i="47" s="1"/>
  <c r="U5" i="40" l="1"/>
  <c r="T7" i="40"/>
  <c r="G7" i="30"/>
  <c r="F4" i="45"/>
  <c r="U8" i="40"/>
  <c r="F8" i="40"/>
  <c r="D56" i="31"/>
  <c r="V7" i="40"/>
  <c r="N6" i="40"/>
  <c r="N5" i="40"/>
  <c r="H15" i="40"/>
  <c r="H16" i="40" s="1"/>
  <c r="H7" i="40" s="1"/>
  <c r="W7" i="40" s="1"/>
  <c r="J5" i="31"/>
  <c r="U5" i="25"/>
  <c r="U3" i="25"/>
  <c r="U6" i="25"/>
  <c r="V6" i="40"/>
  <c r="M8" i="40"/>
  <c r="W6" i="43"/>
  <c r="X6" i="43"/>
  <c r="F40" i="46" s="1"/>
  <c r="X5" i="25"/>
  <c r="Y5" i="25"/>
  <c r="L5" i="31" s="1"/>
  <c r="O7" i="40"/>
  <c r="O6" i="40"/>
  <c r="O5" i="40"/>
  <c r="B23" i="46"/>
  <c r="B31" i="46" s="1"/>
  <c r="Y10" i="25"/>
  <c r="X10" i="25"/>
  <c r="G8" i="40"/>
  <c r="V5" i="40"/>
  <c r="C6" i="46"/>
  <c r="B5" i="46"/>
  <c r="C4" i="46"/>
  <c r="C7" i="46"/>
  <c r="C5" i="46"/>
  <c r="D13" i="45"/>
  <c r="D14" i="45"/>
  <c r="D12" i="45"/>
  <c r="B22" i="46"/>
  <c r="B30" i="46" s="1"/>
  <c r="E17" i="30"/>
  <c r="F8" i="31"/>
  <c r="F9" i="31" s="1"/>
  <c r="E5" i="45"/>
  <c r="E15" i="45" s="1"/>
  <c r="E34" i="3"/>
  <c r="O14" i="25"/>
  <c r="B10" i="38"/>
  <c r="E8" i="40"/>
  <c r="T5" i="40"/>
  <c r="T8" i="40" s="1"/>
  <c r="C4" i="45"/>
  <c r="F41" i="46"/>
  <c r="W45" i="43"/>
  <c r="W48" i="43" s="1"/>
  <c r="W11" i="25"/>
  <c r="Y11" i="25" s="1"/>
  <c r="T11" i="25"/>
  <c r="T12" i="25" s="1"/>
  <c r="N8" i="40" l="1"/>
  <c r="J7" i="31"/>
  <c r="E5" i="47"/>
  <c r="E7" i="47" s="1"/>
  <c r="L7" i="31"/>
  <c r="F5" i="47"/>
  <c r="F7" i="47" s="1"/>
  <c r="H6" i="40"/>
  <c r="W6" i="40" s="1"/>
  <c r="H5" i="40"/>
  <c r="W5" i="40" s="1"/>
  <c r="U7" i="25"/>
  <c r="V8" i="40"/>
  <c r="I15" i="40"/>
  <c r="I16" i="40" s="1"/>
  <c r="I6" i="40" s="1"/>
  <c r="X6" i="40" s="1"/>
  <c r="Y7" i="25"/>
  <c r="Z3" i="25" s="1"/>
  <c r="O8" i="40"/>
  <c r="C22" i="46"/>
  <c r="C30" i="46" s="1"/>
  <c r="H8" i="31"/>
  <c r="H9" i="31" s="1"/>
  <c r="F17" i="30"/>
  <c r="E14" i="45"/>
  <c r="E12" i="45"/>
  <c r="E13" i="45"/>
  <c r="F34" i="3"/>
  <c r="F5" i="45"/>
  <c r="F15" i="45" s="1"/>
  <c r="T14" i="25"/>
  <c r="D7" i="46"/>
  <c r="D4" i="46"/>
  <c r="D11" i="38" s="1"/>
  <c r="D5" i="46"/>
  <c r="D6" i="46"/>
  <c r="C31" i="39"/>
  <c r="B18" i="42"/>
  <c r="C21" i="46"/>
  <c r="C29" i="46" s="1"/>
  <c r="F63" i="31"/>
  <c r="F56" i="31"/>
  <c r="C23" i="46"/>
  <c r="C31" i="46" s="1"/>
  <c r="C10" i="38"/>
  <c r="Y12" i="25"/>
  <c r="B11" i="38"/>
  <c r="B21" i="46"/>
  <c r="B29" i="46" s="1"/>
  <c r="W8" i="40" l="1"/>
  <c r="I7" i="40"/>
  <c r="X7" i="40" s="1"/>
  <c r="H8" i="40"/>
  <c r="I5" i="40"/>
  <c r="X5" i="40" s="1"/>
  <c r="X8" i="40" s="1"/>
  <c r="H7" i="30"/>
  <c r="Z5" i="25"/>
  <c r="Z4" i="25"/>
  <c r="Z6" i="25"/>
  <c r="G4" i="45"/>
  <c r="H63" i="31"/>
  <c r="H56" i="31"/>
  <c r="D22" i="46"/>
  <c r="D30" i="46" s="1"/>
  <c r="D21" i="46"/>
  <c r="D29" i="46" s="1"/>
  <c r="G34" i="3"/>
  <c r="G5" i="45"/>
  <c r="D10" i="38"/>
  <c r="D23" i="46"/>
  <c r="D31" i="46" s="1"/>
  <c r="C11" i="38"/>
  <c r="E5" i="46"/>
  <c r="E4" i="46"/>
  <c r="E11" i="38" s="1"/>
  <c r="E7" i="46"/>
  <c r="E6" i="46"/>
  <c r="D31" i="39"/>
  <c r="C32" i="39"/>
  <c r="F12" i="45"/>
  <c r="F14" i="45"/>
  <c r="F13" i="45"/>
  <c r="Y14" i="25"/>
  <c r="J8" i="31"/>
  <c r="J9" i="31" s="1"/>
  <c r="G17" i="30"/>
  <c r="Z7" i="25" l="1"/>
  <c r="I8" i="40"/>
  <c r="G13" i="45"/>
  <c r="G15" i="45"/>
  <c r="G14" i="45"/>
  <c r="G12" i="45"/>
  <c r="E23" i="46"/>
  <c r="E31" i="46" s="1"/>
  <c r="E10" i="38"/>
  <c r="J63" i="31"/>
  <c r="J56" i="31"/>
  <c r="E21" i="46"/>
  <c r="E29" i="46" s="1"/>
  <c r="F5" i="46"/>
  <c r="F7" i="46"/>
  <c r="F4" i="46"/>
  <c r="F11" i="38" s="1"/>
  <c r="F6" i="46"/>
  <c r="C42" i="39"/>
  <c r="C6" i="44"/>
  <c r="D14" i="26"/>
  <c r="L8" i="31"/>
  <c r="L9" i="31" s="1"/>
  <c r="H17" i="30"/>
  <c r="E31" i="39"/>
  <c r="D32" i="39"/>
  <c r="E22" i="46"/>
  <c r="E30" i="46" s="1"/>
  <c r="F31" i="39" l="1"/>
  <c r="E32" i="39"/>
  <c r="F22" i="46"/>
  <c r="F30" i="46" s="1"/>
  <c r="F10" i="38"/>
  <c r="L63" i="31"/>
  <c r="L56" i="31"/>
  <c r="F23" i="46"/>
  <c r="F31" i="46" s="1"/>
  <c r="F21" i="46"/>
  <c r="F29" i="46" s="1"/>
  <c r="D17" i="26"/>
  <c r="C7" i="44"/>
  <c r="C15" i="44" s="1"/>
  <c r="D42" i="39"/>
  <c r="E14" i="26"/>
  <c r="E17" i="26" s="1"/>
  <c r="D6" i="44"/>
  <c r="D7" i="44" s="1"/>
  <c r="D15" i="44" s="1"/>
  <c r="E6" i="44" l="1"/>
  <c r="E7" i="44" s="1"/>
  <c r="E15" i="44" s="1"/>
  <c r="F15" i="44" s="1"/>
  <c r="F14" i="26"/>
  <c r="F17" i="26" s="1"/>
  <c r="E42" i="39"/>
  <c r="G31" i="39"/>
  <c r="F32" i="39"/>
  <c r="H6" i="44" l="1"/>
  <c r="G14" i="26"/>
  <c r="F42" i="39"/>
  <c r="F6" i="44"/>
  <c r="H31" i="39"/>
  <c r="G32" i="39"/>
  <c r="H14" i="26" l="1"/>
  <c r="H17" i="26" s="1"/>
  <c r="I6" i="44"/>
  <c r="I7" i="44" s="1"/>
  <c r="G42" i="39"/>
  <c r="I31" i="39"/>
  <c r="H32" i="39"/>
  <c r="F7" i="44"/>
  <c r="H7" i="44"/>
  <c r="I11" i="44" l="1"/>
  <c r="I15" i="44"/>
  <c r="H11" i="44"/>
  <c r="H15" i="44"/>
  <c r="C11" i="44"/>
  <c r="D17" i="44"/>
  <c r="F11" i="44"/>
  <c r="D11" i="44"/>
  <c r="F17" i="44"/>
  <c r="F16" i="44"/>
  <c r="D16" i="44"/>
  <c r="C17" i="44"/>
  <c r="E11" i="44"/>
  <c r="C16" i="44"/>
  <c r="E16" i="44"/>
  <c r="E17" i="44"/>
  <c r="J6" i="44"/>
  <c r="J7" i="44" s="1"/>
  <c r="J15" i="44" s="1"/>
  <c r="H42" i="39"/>
  <c r="I14" i="26"/>
  <c r="J31" i="39"/>
  <c r="I32" i="39"/>
  <c r="F18" i="44" l="1"/>
  <c r="C18" i="44"/>
  <c r="D18" i="44"/>
  <c r="E18" i="44"/>
  <c r="K15" i="44"/>
  <c r="K31" i="39"/>
  <c r="J32" i="39"/>
  <c r="I17" i="26"/>
  <c r="K6" i="44"/>
  <c r="M6" i="44"/>
  <c r="I42" i="39"/>
  <c r="J14" i="26"/>
  <c r="G15" i="26" l="1"/>
  <c r="G17" i="26" s="1"/>
  <c r="E8" i="26"/>
  <c r="E10" i="26" s="1"/>
  <c r="E21" i="26" s="1"/>
  <c r="F8" i="26"/>
  <c r="F10" i="26" s="1"/>
  <c r="F21" i="26" s="1"/>
  <c r="D8" i="26"/>
  <c r="D10" i="26" s="1"/>
  <c r="K7" i="44"/>
  <c r="M7" i="44"/>
  <c r="M15" i="44" s="1"/>
  <c r="K14" i="26"/>
  <c r="K17" i="26" s="1"/>
  <c r="J42" i="39"/>
  <c r="N6" i="44"/>
  <c r="N7" i="44" s="1"/>
  <c r="N15" i="44" s="1"/>
  <c r="L31" i="39"/>
  <c r="K32" i="39"/>
  <c r="K42" i="39" l="1"/>
  <c r="O6" i="44"/>
  <c r="L14" i="26"/>
  <c r="L17" i="26" s="1"/>
  <c r="M31" i="39"/>
  <c r="L32" i="39"/>
  <c r="J17" i="44"/>
  <c r="I16" i="44"/>
  <c r="K17" i="44"/>
  <c r="K16" i="44"/>
  <c r="K11" i="44"/>
  <c r="I17" i="44"/>
  <c r="J11" i="44"/>
  <c r="H16" i="44"/>
  <c r="H17" i="44"/>
  <c r="J16" i="44"/>
  <c r="D21" i="26"/>
  <c r="D22" i="26"/>
  <c r="I18" i="44" l="1"/>
  <c r="H8" i="26" s="1"/>
  <c r="H10" i="26" s="1"/>
  <c r="H21" i="26" s="1"/>
  <c r="J18" i="44"/>
  <c r="H18" i="44"/>
  <c r="K18" i="44"/>
  <c r="R6" i="44"/>
  <c r="M14" i="26"/>
  <c r="L42" i="39"/>
  <c r="N31" i="39"/>
  <c r="M32" i="39"/>
  <c r="O7" i="44"/>
  <c r="O15" i="44" s="1"/>
  <c r="P15" i="44" s="1"/>
  <c r="P6" i="44"/>
  <c r="D23" i="26"/>
  <c r="E3" i="26"/>
  <c r="E22" i="26" s="1"/>
  <c r="G8" i="26" l="1"/>
  <c r="G10" i="26" s="1"/>
  <c r="I8" i="26"/>
  <c r="I10" i="26" s="1"/>
  <c r="I21" i="26" s="1"/>
  <c r="J15" i="26"/>
  <c r="J17" i="26" s="1"/>
  <c r="P7" i="44"/>
  <c r="N32" i="39"/>
  <c r="P31" i="39"/>
  <c r="E23" i="26"/>
  <c r="F3" i="26"/>
  <c r="F22" i="26" s="1"/>
  <c r="R7" i="44"/>
  <c r="R15" i="44" s="1"/>
  <c r="S6" i="44"/>
  <c r="S7" i="44" s="1"/>
  <c r="S15" i="44" s="1"/>
  <c r="M42" i="39"/>
  <c r="N14" i="26"/>
  <c r="N17" i="26" s="1"/>
  <c r="F23" i="26" l="1"/>
  <c r="G3" i="26"/>
  <c r="G22" i="26" s="1"/>
  <c r="C30" i="3"/>
  <c r="C32" i="3" s="1"/>
  <c r="P32" i="39"/>
  <c r="T6" i="44"/>
  <c r="T7" i="44" s="1"/>
  <c r="T15" i="44" s="1"/>
  <c r="U15" i="44" s="1"/>
  <c r="W15" i="44" s="1"/>
  <c r="C15" i="45" s="1"/>
  <c r="N42" i="39"/>
  <c r="O14" i="26"/>
  <c r="G21" i="26"/>
  <c r="O17" i="44"/>
  <c r="N16" i="44"/>
  <c r="M16" i="44"/>
  <c r="P16" i="44"/>
  <c r="P11" i="44"/>
  <c r="P17" i="44"/>
  <c r="O16" i="44"/>
  <c r="N11" i="44"/>
  <c r="N17" i="44"/>
  <c r="O11" i="44"/>
  <c r="M11" i="44"/>
  <c r="M17" i="44"/>
  <c r="N18" i="44" l="1"/>
  <c r="P18" i="44"/>
  <c r="O18" i="44"/>
  <c r="M18" i="44"/>
  <c r="O17" i="26"/>
  <c r="Q14" i="26"/>
  <c r="D15" i="30" s="1"/>
  <c r="D13" i="31"/>
  <c r="D14" i="31" s="1"/>
  <c r="D30" i="3"/>
  <c r="D32" i="3" s="1"/>
  <c r="H3" i="26"/>
  <c r="H22" i="26" s="1"/>
  <c r="G23" i="26"/>
  <c r="U6" i="44"/>
  <c r="K8" i="26" l="1"/>
  <c r="K10" i="26" s="1"/>
  <c r="K21" i="26" s="1"/>
  <c r="J8" i="26"/>
  <c r="J10" i="26" s="1"/>
  <c r="L8" i="26"/>
  <c r="L10" i="26" s="1"/>
  <c r="L21" i="26" s="1"/>
  <c r="M15" i="26"/>
  <c r="M17" i="26" s="1"/>
  <c r="Q17" i="26" s="1"/>
  <c r="I3" i="26"/>
  <c r="I22" i="26" s="1"/>
  <c r="H23" i="26"/>
  <c r="F13" i="31"/>
  <c r="F14" i="31" s="1"/>
  <c r="E30" i="3"/>
  <c r="E32" i="3" s="1"/>
  <c r="U7" i="44"/>
  <c r="W6" i="44"/>
  <c r="D64" i="31"/>
  <c r="D16" i="31"/>
  <c r="J21" i="26"/>
  <c r="Q15" i="26" l="1"/>
  <c r="D16" i="30" s="1"/>
  <c r="D20" i="30" s="1"/>
  <c r="F30" i="3"/>
  <c r="F32" i="3" s="1"/>
  <c r="H13" i="31"/>
  <c r="H14" i="31" s="1"/>
  <c r="F64" i="31"/>
  <c r="F16" i="31"/>
  <c r="D34" i="31"/>
  <c r="D57" i="31"/>
  <c r="E16" i="31"/>
  <c r="B33" i="46"/>
  <c r="B37" i="46" s="1"/>
  <c r="B34" i="46"/>
  <c r="B38" i="46" s="1"/>
  <c r="B32" i="46"/>
  <c r="B36" i="46" s="1"/>
  <c r="B35" i="46"/>
  <c r="B39" i="46" s="1"/>
  <c r="B12" i="38"/>
  <c r="B13" i="38" s="1"/>
  <c r="B15" i="38" s="1"/>
  <c r="D66" i="31"/>
  <c r="D67" i="31" s="1"/>
  <c r="B4" i="38" s="1"/>
  <c r="B7" i="38" s="1"/>
  <c r="C6" i="45"/>
  <c r="C7" i="45" s="1"/>
  <c r="W7" i="44"/>
  <c r="R11" i="44"/>
  <c r="T11" i="44"/>
  <c r="S11" i="44"/>
  <c r="R17" i="44"/>
  <c r="S17" i="44"/>
  <c r="T16" i="44"/>
  <c r="U17" i="44"/>
  <c r="W17" i="44" s="1"/>
  <c r="C17" i="45" s="1"/>
  <c r="U16" i="44"/>
  <c r="W16" i="44" s="1"/>
  <c r="C16" i="45" s="1"/>
  <c r="S16" i="44"/>
  <c r="R16" i="44"/>
  <c r="U11" i="44"/>
  <c r="T17" i="44"/>
  <c r="J3" i="26"/>
  <c r="J22" i="26" s="1"/>
  <c r="I23" i="26"/>
  <c r="D6" i="45"/>
  <c r="D7" i="45" s="1"/>
  <c r="E15" i="30"/>
  <c r="S18" i="44" l="1"/>
  <c r="U18" i="44"/>
  <c r="C20" i="45" s="1"/>
  <c r="T18" i="44"/>
  <c r="R18" i="44"/>
  <c r="D11" i="45"/>
  <c r="D16" i="45"/>
  <c r="D17" i="45"/>
  <c r="E34" i="31"/>
  <c r="E58" i="31" s="1"/>
  <c r="D44" i="31"/>
  <c r="B8" i="34"/>
  <c r="D58" i="31"/>
  <c r="J23" i="26"/>
  <c r="K3" i="26"/>
  <c r="K22" i="26" s="1"/>
  <c r="G16" i="31"/>
  <c r="F34" i="31"/>
  <c r="F57" i="31"/>
  <c r="C34" i="46"/>
  <c r="C38" i="46" s="1"/>
  <c r="C32" i="46"/>
  <c r="C36" i="46" s="1"/>
  <c r="C33" i="46"/>
  <c r="C37" i="46" s="1"/>
  <c r="C12" i="38"/>
  <c r="C13" i="38" s="1"/>
  <c r="C15" i="38" s="1"/>
  <c r="C35" i="46"/>
  <c r="C39" i="46" s="1"/>
  <c r="F66" i="31"/>
  <c r="F67" i="31" s="1"/>
  <c r="C4" i="38" s="1"/>
  <c r="C7" i="38" s="1"/>
  <c r="W11" i="44"/>
  <c r="F15" i="30"/>
  <c r="E6" i="45"/>
  <c r="E7" i="45" s="1"/>
  <c r="H64" i="31"/>
  <c r="H16" i="31"/>
  <c r="G30" i="3"/>
  <c r="G32" i="3" s="1"/>
  <c r="J13" i="31"/>
  <c r="J14" i="31" s="1"/>
  <c r="E57" i="31"/>
  <c r="B7" i="34"/>
  <c r="M8" i="26" l="1"/>
  <c r="M10" i="26" s="1"/>
  <c r="O8" i="26"/>
  <c r="O10" i="26" s="1"/>
  <c r="O21" i="26" s="1"/>
  <c r="N8" i="26"/>
  <c r="N10" i="26" s="1"/>
  <c r="N21" i="26" s="1"/>
  <c r="E16" i="45"/>
  <c r="E11" i="45"/>
  <c r="E17" i="45"/>
  <c r="G15" i="30"/>
  <c r="F6" i="45"/>
  <c r="F7" i="45" s="1"/>
  <c r="J64" i="31"/>
  <c r="J16" i="31"/>
  <c r="D46" i="31"/>
  <c r="D49" i="31" s="1"/>
  <c r="E44" i="31"/>
  <c r="F45" i="31"/>
  <c r="L13" i="31"/>
  <c r="L14" i="31" s="1"/>
  <c r="C11" i="45"/>
  <c r="C18" i="45" s="1"/>
  <c r="W18" i="44"/>
  <c r="G34" i="31"/>
  <c r="G58" i="31" s="1"/>
  <c r="F58" i="31"/>
  <c r="F44" i="31"/>
  <c r="C8" i="34"/>
  <c r="I16" i="31"/>
  <c r="H34" i="31"/>
  <c r="H57" i="31"/>
  <c r="C7" i="34"/>
  <c r="G57" i="31"/>
  <c r="D34" i="46"/>
  <c r="D38" i="46" s="1"/>
  <c r="D33" i="46"/>
  <c r="D37" i="46" s="1"/>
  <c r="D35" i="46"/>
  <c r="D39" i="46" s="1"/>
  <c r="D32" i="46"/>
  <c r="D36" i="46" s="1"/>
  <c r="D12" i="38"/>
  <c r="D13" i="38" s="1"/>
  <c r="D15" i="38" s="1"/>
  <c r="H66" i="31"/>
  <c r="H67" i="31" s="1"/>
  <c r="D4" i="38" s="1"/>
  <c r="D7" i="38" s="1"/>
  <c r="L3" i="26"/>
  <c r="L22" i="26" s="1"/>
  <c r="K23" i="26"/>
  <c r="D18" i="45"/>
  <c r="D51" i="31" l="1"/>
  <c r="Q8" i="26"/>
  <c r="D8" i="30" s="1"/>
  <c r="D11" i="30" s="1"/>
  <c r="G44" i="31"/>
  <c r="F46" i="31"/>
  <c r="F49" i="31" s="1"/>
  <c r="D38" i="3" s="1"/>
  <c r="D39" i="3" s="1"/>
  <c r="H45" i="31"/>
  <c r="G6" i="45"/>
  <c r="G7" i="45" s="1"/>
  <c r="H15" i="30"/>
  <c r="E32" i="46"/>
  <c r="E36" i="46" s="1"/>
  <c r="E35" i="46"/>
  <c r="E39" i="46" s="1"/>
  <c r="E12" i="38"/>
  <c r="E13" i="38" s="1"/>
  <c r="E15" i="38" s="1"/>
  <c r="E34" i="46"/>
  <c r="E38" i="46" s="1"/>
  <c r="E33" i="46"/>
  <c r="E37" i="46" s="1"/>
  <c r="J66" i="31"/>
  <c r="J67" i="31" s="1"/>
  <c r="E4" i="38" s="1"/>
  <c r="E7" i="38" s="1"/>
  <c r="L64" i="31"/>
  <c r="L16" i="31"/>
  <c r="F11" i="45"/>
  <c r="F17" i="45"/>
  <c r="F16" i="45"/>
  <c r="D20" i="45"/>
  <c r="E16" i="30" s="1"/>
  <c r="E8" i="30"/>
  <c r="F24" i="33"/>
  <c r="L23" i="26"/>
  <c r="M3" i="26"/>
  <c r="M22" i="26" s="1"/>
  <c r="M21" i="26"/>
  <c r="Q21" i="26" s="1"/>
  <c r="Q10" i="26"/>
  <c r="N36" i="39"/>
  <c r="P36" i="39" s="1"/>
  <c r="P37" i="39" s="1"/>
  <c r="P42" i="39" s="1"/>
  <c r="C38" i="3"/>
  <c r="C39" i="3" s="1"/>
  <c r="D8" i="34"/>
  <c r="H44" i="31"/>
  <c r="H58" i="31"/>
  <c r="I34" i="31"/>
  <c r="I58" i="31" s="1"/>
  <c r="E18" i="45"/>
  <c r="I57" i="31"/>
  <c r="D7" i="34"/>
  <c r="K16" i="31"/>
  <c r="J34" i="31"/>
  <c r="J57" i="31"/>
  <c r="D59" i="31" l="1"/>
  <c r="B11" i="47"/>
  <c r="B9" i="34"/>
  <c r="E51" i="31"/>
  <c r="E59" i="31" s="1"/>
  <c r="B5" i="34"/>
  <c r="F18" i="45"/>
  <c r="G8" i="30" s="1"/>
  <c r="F51" i="31"/>
  <c r="D23" i="30"/>
  <c r="D22" i="30"/>
  <c r="B5" i="41" s="1"/>
  <c r="D5" i="41" s="1"/>
  <c r="M23" i="26"/>
  <c r="N3" i="26"/>
  <c r="N22" i="26" s="1"/>
  <c r="F35" i="46"/>
  <c r="F39" i="46" s="1"/>
  <c r="F12" i="38"/>
  <c r="F13" i="38" s="1"/>
  <c r="F15" i="38" s="1"/>
  <c r="F32" i="46"/>
  <c r="F36" i="46" s="1"/>
  <c r="F33" i="46"/>
  <c r="F37" i="46" s="1"/>
  <c r="F34" i="46"/>
  <c r="F38" i="46" s="1"/>
  <c r="L66" i="31"/>
  <c r="L67" i="31" s="1"/>
  <c r="F4" i="38" s="1"/>
  <c r="F7" i="38" s="1"/>
  <c r="E7" i="34"/>
  <c r="K57" i="31"/>
  <c r="M16" i="31"/>
  <c r="L34" i="31"/>
  <c r="L57" i="31"/>
  <c r="E8" i="34"/>
  <c r="J44" i="31"/>
  <c r="K34" i="31"/>
  <c r="K58" i="31" s="1"/>
  <c r="J58" i="31"/>
  <c r="F16" i="33"/>
  <c r="F17" i="33" s="1"/>
  <c r="B14" i="34" s="1"/>
  <c r="E18" i="30"/>
  <c r="E20" i="30" s="1"/>
  <c r="C44" i="3"/>
  <c r="E11" i="30"/>
  <c r="G17" i="45"/>
  <c r="G11" i="45"/>
  <c r="G16" i="45"/>
  <c r="G25" i="33"/>
  <c r="F26" i="33"/>
  <c r="F8" i="30"/>
  <c r="E20" i="45"/>
  <c r="F16" i="30" s="1"/>
  <c r="G16" i="33"/>
  <c r="G17" i="33" s="1"/>
  <c r="F18" i="30"/>
  <c r="D44" i="3"/>
  <c r="H46" i="31"/>
  <c r="H49" i="31" s="1"/>
  <c r="E38" i="3" s="1"/>
  <c r="E39" i="3" s="1"/>
  <c r="J45" i="31"/>
  <c r="I44" i="31"/>
  <c r="G51" i="31" l="1"/>
  <c r="G59" i="31" s="1"/>
  <c r="C11" i="47"/>
  <c r="F20" i="45"/>
  <c r="G16" i="30" s="1"/>
  <c r="F59" i="31"/>
  <c r="G24" i="33"/>
  <c r="G26" i="33" s="1"/>
  <c r="C5" i="34"/>
  <c r="C9" i="34"/>
  <c r="F20" i="30"/>
  <c r="C14" i="34"/>
  <c r="G18" i="45"/>
  <c r="G11" i="30"/>
  <c r="J46" i="31"/>
  <c r="J49" i="31" s="1"/>
  <c r="F38" i="3" s="1"/>
  <c r="F39" i="3" s="1"/>
  <c r="L45" i="31"/>
  <c r="K44" i="31"/>
  <c r="N23" i="26"/>
  <c r="O3" i="26"/>
  <c r="O22" i="26" s="1"/>
  <c r="E22" i="30"/>
  <c r="B6" i="41" s="1"/>
  <c r="D6" i="41" s="1"/>
  <c r="H51" i="31"/>
  <c r="D11" i="47" s="1"/>
  <c r="F11" i="30"/>
  <c r="M34" i="31"/>
  <c r="M58" i="31" s="1"/>
  <c r="L44" i="31"/>
  <c r="L58" i="31"/>
  <c r="F8" i="34"/>
  <c r="D24" i="30"/>
  <c r="F8" i="33"/>
  <c r="E3" i="30"/>
  <c r="E23" i="30" s="1"/>
  <c r="H16" i="33"/>
  <c r="H17" i="33" s="1"/>
  <c r="D14" i="34" s="1"/>
  <c r="G18" i="30"/>
  <c r="E44" i="3"/>
  <c r="F7" i="34"/>
  <c r="M57" i="31"/>
  <c r="O23" i="26" l="1"/>
  <c r="Q23" i="26" s="1"/>
  <c r="G20" i="30"/>
  <c r="G22" i="30" s="1"/>
  <c r="B8" i="41" s="1"/>
  <c r="D8" i="41" s="1"/>
  <c r="H25" i="33"/>
  <c r="F22" i="30"/>
  <c r="B7" i="41" s="1"/>
  <c r="D7" i="41" s="1"/>
  <c r="G8" i="33"/>
  <c r="E24" i="30"/>
  <c r="F3" i="30"/>
  <c r="F23" i="30" s="1"/>
  <c r="F10" i="33"/>
  <c r="B13" i="34"/>
  <c r="I51" i="31"/>
  <c r="I59" i="31" s="1"/>
  <c r="D9" i="34"/>
  <c r="H59" i="31"/>
  <c r="H24" i="33"/>
  <c r="D5" i="34"/>
  <c r="L46" i="31"/>
  <c r="L49" i="31" s="1"/>
  <c r="G38" i="3" s="1"/>
  <c r="G39" i="3" s="1"/>
  <c r="M44" i="31"/>
  <c r="G20" i="45"/>
  <c r="H16" i="30" s="1"/>
  <c r="H8" i="30"/>
  <c r="I16" i="33"/>
  <c r="I17" i="33" s="1"/>
  <c r="E14" i="34" s="1"/>
  <c r="H18" i="30"/>
  <c r="F44" i="3"/>
  <c r="J51" i="31"/>
  <c r="E11" i="47" s="1"/>
  <c r="E5" i="34" l="1"/>
  <c r="J59" i="31"/>
  <c r="E9" i="34"/>
  <c r="I24" i="33"/>
  <c r="K51" i="31"/>
  <c r="K59" i="31" s="1"/>
  <c r="J16" i="33"/>
  <c r="J17" i="33" s="1"/>
  <c r="F14" i="34" s="1"/>
  <c r="G44" i="3"/>
  <c r="L51" i="31"/>
  <c r="F11" i="47" s="1"/>
  <c r="B12" i="34"/>
  <c r="F12" i="33"/>
  <c r="H11" i="30"/>
  <c r="H8" i="33"/>
  <c r="G3" i="30"/>
  <c r="G23" i="30" s="1"/>
  <c r="F24" i="30"/>
  <c r="H20" i="30"/>
  <c r="H26" i="33"/>
  <c r="I25" i="33"/>
  <c r="C13" i="34"/>
  <c r="G10" i="33"/>
  <c r="H22" i="30" l="1"/>
  <c r="B9" i="41" s="1"/>
  <c r="B12" i="41" s="1"/>
  <c r="D12" i="41" s="1"/>
  <c r="G12" i="33"/>
  <c r="C12" i="34"/>
  <c r="F19" i="33"/>
  <c r="B17" i="34"/>
  <c r="B6" i="34"/>
  <c r="J25" i="33"/>
  <c r="I26" i="33"/>
  <c r="F5" i="34"/>
  <c r="L59" i="31"/>
  <c r="M51" i="31"/>
  <c r="M59" i="31" s="1"/>
  <c r="F9" i="34"/>
  <c r="J24" i="33"/>
  <c r="D13" i="34"/>
  <c r="H10" i="33"/>
  <c r="I8" i="33"/>
  <c r="G24" i="30"/>
  <c r="H3" i="30"/>
  <c r="H23" i="30" s="1"/>
  <c r="D9" i="41" l="1"/>
  <c r="D10" i="41" s="1"/>
  <c r="D14" i="41" s="1"/>
  <c r="D19" i="41" s="1"/>
  <c r="J26" i="33"/>
  <c r="F34" i="33"/>
  <c r="B4" i="34"/>
  <c r="E13" i="34"/>
  <c r="I10" i="33"/>
  <c r="H12" i="33"/>
  <c r="D12" i="34"/>
  <c r="H24" i="30"/>
  <c r="J8" i="33"/>
  <c r="G19" i="33"/>
  <c r="C17" i="34"/>
  <c r="C6" i="34"/>
  <c r="D17" i="41" l="1"/>
  <c r="G34" i="33"/>
  <c r="C4" i="34"/>
  <c r="H19" i="33"/>
  <c r="D17" i="34"/>
  <c r="D6" i="34"/>
  <c r="E12" i="34"/>
  <c r="I12" i="33"/>
  <c r="J10" i="33"/>
  <c r="F13" i="34"/>
  <c r="J12" i="33" l="1"/>
  <c r="F12" i="34"/>
  <c r="I19" i="33"/>
  <c r="E17" i="34"/>
  <c r="E6" i="34"/>
  <c r="H34" i="33"/>
  <c r="D4" i="34"/>
  <c r="I34" i="33" l="1"/>
  <c r="E4" i="34"/>
  <c r="J19" i="33"/>
  <c r="F17" i="34"/>
  <c r="F6" i="34"/>
  <c r="J34" i="33" l="1"/>
  <c r="F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tc={CCB5F8DA-1069-4C7D-9693-01054C79DBCF}</author>
  </authors>
  <commentList>
    <comment ref="B29" authorId="0" shapeId="0" xr:uid="{CCB5F8DA-1069-4C7D-9693-01054C79DBCF}">
      <text>
        <t>[Threaded comment]
Your version of Excel allows you to read this threaded comment; however, any edits to it will get removed if the file is opened in a newer version of Excel. Learn more: https://go.microsoft.com/fwlink/?linkid=870924
Comment:
    Goods and Services Tax (18%)
It is calculated over the gross sales in the country; no minimum thresholds exemptions.
Monthly GST returns will have to be filed at the relevant Indian authorities.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tc={D6ACFDD7-1B61-4B16-B51D-1108864D403A}</author>
    <author>tc={BDE94627-9D22-4EA3-BF62-FEF24870A149}</author>
    <author>tc={4FB4DA28-AE23-42A1-A57E-F6C6CDA97804}</author>
    <author>tc={6B85665B-1754-48FE-B6FB-4DAC3BDAC819}</author>
    <author>tc={3A1E0F6B-1114-48A8-9E7F-B5D0CBC4F68B}</author>
    <author>tc={3D4283C1-B071-438D-8049-6B6F92DB47AD}</author>
    <author>tc={7F9CAAF3-5862-4718-B2D7-20649BA7980A}</author>
    <author>tc={B0278740-5975-4FDA-9A2D-2CA5CC163AE9}</author>
    <author>tc={8F4172EA-5A89-4716-8A35-3CB74A7B7F33}</author>
    <author>tc={ACCA4300-208F-4F7D-BDEB-1B54F1C705FB}</author>
    <author>tc={9A4D50F4-CBA3-4684-9366-C4819643AE13}</author>
    <author>tc={A4295779-ECA5-4303-AC9A-61DDAB1DBB39}</author>
    <author>tc={DE1EAEE7-02AF-461F-96D2-5938213289DD}</author>
    <author>tc={B42CFC56-FB40-49FF-9E46-79CE09D95F27}</author>
    <author>tc={D1A880CC-2077-4E04-83E5-76E7604535DE}</author>
  </authors>
  <commentList>
    <comment ref="A27" authorId="0" shapeId="0" xr:uid="{D6ACFDD7-1B61-4B16-B51D-1108864D403A}">
      <text>
        <t xml:space="preserve">[Threaded comment]
Your version of Excel allows you to read this threaded comment; however, any edits to it will get removed if the file is opened in a newer version of Excel. Learn more: https://go.microsoft.com/fwlink/?linkid=870924
Comment:
    Based on previous on-site pre-registration ad campagins, we are forecasting a starting CPL (cost per lead) of around €33.33 (£28.89) over the first couple months in the UK. As FB algorithm refines targeting and re-targeting audiences the CPL is expected to considerably drop over months 3 and 4 to then slowly maintaining an average 2% monthly reduction. </t>
      </text>
    </comment>
    <comment ref="A28" authorId="1" shapeId="0" xr:uid="{BDE94627-9D22-4EA3-BF62-FEF24870A149}">
      <text>
        <t xml:space="preserve">[Threaded comment]
Your version of Excel allows you to read this threaded comment; however, any edits to it will get removed if the file is opened in a newer version of Excel. Learn more: https://go.microsoft.com/fwlink/?linkid=870924
Comment:
    Based on previous on-site pre-registration ad campagins, we are forecasting a starting CPL (cost per lead) of around €9.52 (£8.25) over the first couple months in the EEA. As FB algorithm refines targeting and re-targeting audiences the CPL is expected to considerably drop over months 3 and 4 to then slowly maintaining an average 2% monthly reduction. </t>
      </text>
    </comment>
    <comment ref="A29" authorId="2" shapeId="0" xr:uid="{4FB4DA28-AE23-42A1-A57E-F6C6CDA97804}">
      <text>
        <t xml:space="preserve">[Threaded comment]
Your version of Excel allows you to read this threaded comment; however, any edits to it will get removed if the file is opened in a newer version of Excel. Learn more: https://go.microsoft.com/fwlink/?linkid=870924
Comment:
    Based on previous on-site pre-registration ad campagins, we are forecasting a starting CPL (cost per lead) of around €33.33 (£28.89) over the first couple months in the US. As FB algorithm refines targeting and re-targeting audiences the CPL is expected to considerably drop over months 3 and 4 to then slowly maintaining an average 2% monthly reduction. 												
</t>
      </text>
    </comment>
    <comment ref="A30" authorId="3" shapeId="0" xr:uid="{6B85665B-1754-48FE-B6FB-4DAC3BDAC819}">
      <text>
        <t xml:space="preserve">[Threaded comment]
Your version of Excel allows you to read this threaded comment; however, any edits to it will get removed if the file is opened in a newer version of Excel. Learn more: https://go.microsoft.com/fwlink/?linkid=870924
Comment:
    Based on previous on-site pre-registration ad campagins, we are forecasting a starting CPL (cost per lead) of around €33.33 (£28.89) over the first couple months in Canada. As FB algorithm refines targeting and re-targeting audiences the CPL is expected to considerably drop over months 3 and 4 to then slowly maintaining an average 2% monthly reduction. 	</t>
      </text>
    </comment>
    <comment ref="A31" authorId="4" shapeId="0" xr:uid="{3A1E0F6B-1114-48A8-9E7F-B5D0CBC4F68B}">
      <text>
        <t xml:space="preserve">[Threaded comment]
Your version of Excel allows you to read this threaded comment; however, any edits to it will get removed if the file is opened in a newer version of Excel. Learn more: https://go.microsoft.com/fwlink/?linkid=870924
Comment:
    Based on industry statistics, we are forecasting a starting CPL (cost per lead) of around €5 (£4.33) over the first couple months in India. As FB algorithm refines targeting and re-targeting audiences the CPL is expected to considerably drop over months 3 and 4 to then slowly maintaining an average 2% monthly reduction. 												
</t>
      </text>
    </comment>
    <comment ref="A32" authorId="5" shapeId="0" xr:uid="{3D4283C1-B071-438D-8049-6B6F92DB47AD}">
      <text>
        <t xml:space="preserve">[Threaded comment]
Your version of Excel allows you to read this threaded comment; however, any edits to it will get removed if the file is opened in a newer version of Excel. Learn more: https://go.microsoft.com/fwlink/?linkid=870924
Comment:
    Based on previous on-site pre-registration ad campagins, we are forecasting a starting CPL (cost per lead) of around €33.33 (£28.89) over the first couple months in Australia. As FB algorithm refines targeting and re-targeting audiences the CPL is expected to considerably drop over months 3 and 4 to then slowly maintaining an average 2% monthly reduction. 												
</t>
      </text>
    </comment>
    <comment ref="A33" authorId="6" shapeId="0" xr:uid="{7F9CAAF3-5862-4718-B2D7-20649BA7980A}">
      <text>
        <t xml:space="preserve">[Threaded comment]
Your version of Excel allows you to read this threaded comment; however, any edits to it will get removed if the file is opened in a newer version of Excel. Learn more: https://go.microsoft.com/fwlink/?linkid=870924
Comment:
    Based on previous on-site pre-registration ad campagins, we are forecasting a starting CPL (cost per lead) of around €19.05 (£16.51) over the first couple months in New Zealand. As FB algorithm refines targeting and re-targeting audiences the CPL is expected to considerably drop over months 3 and 4 to then slowly maintaining an average 2% monthly reduction. 												
</t>
      </text>
    </comment>
    <comment ref="A48" authorId="7" shapeId="0" xr:uid="{B0278740-5975-4FDA-9A2D-2CA5CC163AE9}">
      <text>
        <t>[Threaded comment]
Your version of Excel allows you to read this threaded comment; however, any edits to it will get removed if the file is opened in a newer version of Excel. Learn more: https://go.microsoft.com/fwlink/?linkid=870924
Comment:
    Facebook/Instagram ads</t>
      </text>
    </comment>
    <comment ref="A49" authorId="8" shapeId="0" xr:uid="{8F4172EA-5A89-4716-8A35-3CB74A7B7F33}">
      <text>
        <t>[Threaded comment]
Your version of Excel allows you to read this threaded comment; however, any edits to it will get removed if the file is opened in a newer version of Excel. Learn more: https://go.microsoft.com/fwlink/?linkid=870924
Comment:
    Facebook/Instagram ads</t>
      </text>
    </comment>
    <comment ref="A50" authorId="9" shapeId="0" xr:uid="{ACCA4300-208F-4F7D-BDEB-1B54F1C705FB}">
      <text>
        <t>[Threaded comment]
Your version of Excel allows you to read this threaded comment; however, any edits to it will get removed if the file is opened in a newer version of Excel. Learn more: https://go.microsoft.com/fwlink/?linkid=870924
Comment:
    Facebook/Instagram ads</t>
      </text>
    </comment>
    <comment ref="A51" authorId="10" shapeId="0" xr:uid="{9A4D50F4-CBA3-4684-9366-C4819643AE13}">
      <text>
        <t>[Threaded comment]
Your version of Excel allows you to read this threaded comment; however, any edits to it will get removed if the file is opened in a newer version of Excel. Learn more: https://go.microsoft.com/fwlink/?linkid=870924
Comment:
    Facebook/Instagram ads</t>
      </text>
    </comment>
    <comment ref="A52" authorId="11" shapeId="0" xr:uid="{A4295779-ECA5-4303-AC9A-61DDAB1DBB39}">
      <text>
        <t>[Threaded comment]
Your version of Excel allows you to read this threaded comment; however, any edits to it will get removed if the file is opened in a newer version of Excel. Learn more: https://go.microsoft.com/fwlink/?linkid=870924
Comment:
    Facebook/Instagram ads</t>
      </text>
    </comment>
    <comment ref="A53" authorId="12" shapeId="0" xr:uid="{DE1EAEE7-02AF-461F-96D2-5938213289DD}">
      <text>
        <t>[Threaded comment]
Your version of Excel allows you to read this threaded comment; however, any edits to it will get removed if the file is opened in a newer version of Excel. Learn more: https://go.microsoft.com/fwlink/?linkid=870924
Comment:
    Facebook/Instagram ads</t>
      </text>
    </comment>
    <comment ref="A54" authorId="13" shapeId="0" xr:uid="{B42CFC56-FB40-49FF-9E46-79CE09D95F27}">
      <text>
        <t>[Threaded comment]
Your version of Excel allows you to read this threaded comment; however, any edits to it will get removed if the file is opened in a newer version of Excel. Learn more: https://go.microsoft.com/fwlink/?linkid=870924
Comment:
    Facebook/Instagram ads</t>
      </text>
    </comment>
    <comment ref="B59" authorId="14" shapeId="0" xr:uid="{D1A880CC-2077-4E04-83E5-76E7604535DE}">
      <text>
        <t>[Threaded comment]
Your version of Excel allows you to read this threaded comment; however, any edits to it will get removed if the file is opened in a newer version of Excel. Learn more: https://go.microsoft.com/fwlink/?linkid=870924
Comment:
    As brand awareness grows and ad campaigns are optimized, cost per lead (CPL) is forecast to decrease by avg 25% per year. Taking into account an expected 5% annual increase in ad costs, a net CPL reduction of approx  20% per year is estimated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tc={952D1E72-AF36-4541-8791-5975539424AA}</author>
  </authors>
  <commentList>
    <comment ref="B4" authorId="0" shapeId="0" xr:uid="{952D1E72-AF36-4541-8791-5975539424AA}">
      <text>
        <t>[Threaded comment]
Your version of Excel allows you to read this threaded comment; however, any edits to it will get removed if the file is opened in a newer version of Excel. Learn more: https://go.microsoft.com/fwlink/?linkid=870924
Comment:
    Investment in worldwide trademark at start Year 2</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tc={649672BC-24D6-4265-BD23-37ECDC42777A}</author>
  </authors>
  <commentList>
    <comment ref="B29" authorId="0" shapeId="0" xr:uid="{649672BC-24D6-4265-BD23-37ECDC42777A}">
      <text>
        <t>[Threaded comment]
Your version of Excel allows you to read this threaded comment; however, any edits to it will get removed if the file is opened in a newer version of Excel. Learn more: https://go.microsoft.com/fwlink/?linkid=870924
Comment:
    Goods and Services Tax (18%)
It is calculated over the gross sales in the country; no minimum thresholds exemptions.
Monthly GST returns will have to be filed at the relevant Indian authorities.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<sst xmlns="http://schemas.openxmlformats.org/spreadsheetml/2006/main" count="1350" uniqueCount="394">
  <si>
    <t>Notes</t>
  </si>
  <si>
    <t>Amounts</t>
  </si>
  <si>
    <t>Year one</t>
  </si>
  <si>
    <t>Year two</t>
  </si>
  <si>
    <t>Year three</t>
  </si>
  <si>
    <t>Expenses</t>
  </si>
  <si>
    <t>Investments</t>
  </si>
  <si>
    <t>Sales estimate 1st year</t>
  </si>
  <si>
    <t>Month 1</t>
  </si>
  <si>
    <t>Month 2</t>
  </si>
  <si>
    <t>Month 3</t>
  </si>
  <si>
    <t>Month 4</t>
  </si>
  <si>
    <t>Month 5</t>
  </si>
  <si>
    <t>Month 6</t>
  </si>
  <si>
    <t>Month 7</t>
  </si>
  <si>
    <t>Month 8</t>
  </si>
  <si>
    <t>Month 9</t>
  </si>
  <si>
    <t>Month 10</t>
  </si>
  <si>
    <t>Month 11</t>
  </si>
  <si>
    <t>Month 12</t>
  </si>
  <si>
    <t>Totals</t>
  </si>
  <si>
    <t>Sales</t>
  </si>
  <si>
    <t>1st year</t>
  </si>
  <si>
    <t>2nd year</t>
  </si>
  <si>
    <t>3rd year</t>
  </si>
  <si>
    <t>Revenue</t>
  </si>
  <si>
    <t>Total</t>
  </si>
  <si>
    <t>1st year cash flows projections</t>
  </si>
  <si>
    <t>Month 0</t>
  </si>
  <si>
    <t>Beginning balance</t>
  </si>
  <si>
    <t>Cash inflows</t>
  </si>
  <si>
    <t>Total inflows</t>
  </si>
  <si>
    <t>Cash outflows</t>
  </si>
  <si>
    <t>Net cash flow balance ( inflows - outflows )</t>
  </si>
  <si>
    <t>Operating cash balance ( beginning bal. + net bal. )</t>
  </si>
  <si>
    <t>Additional finance requirements</t>
  </si>
  <si>
    <t>Minimum desidered cash balance</t>
  </si>
  <si>
    <t>NB: above values are inclusive of VAT</t>
  </si>
  <si>
    <t>Year 1</t>
  </si>
  <si>
    <t>Year 2</t>
  </si>
  <si>
    <t>Year 3</t>
  </si>
  <si>
    <t>Cash flows projections</t>
  </si>
  <si>
    <t>Refunds to customers</t>
  </si>
  <si>
    <t>Total outflows</t>
  </si>
  <si>
    <t>Total accruals</t>
  </si>
  <si>
    <t>Income Statements</t>
  </si>
  <si>
    <t>Profit margin</t>
  </si>
  <si>
    <t>Total sales</t>
  </si>
  <si>
    <t>Net revenue</t>
  </si>
  <si>
    <t>Gross profit/loss</t>
  </si>
  <si>
    <t>Total operating expenses</t>
  </si>
  <si>
    <t>Operating profit/loss</t>
  </si>
  <si>
    <t>Interest payable</t>
  </si>
  <si>
    <t>Total interest payable</t>
  </si>
  <si>
    <t>Profit/loss before tax</t>
  </si>
  <si>
    <t>Taxes</t>
  </si>
  <si>
    <t>Net profit / loss</t>
  </si>
  <si>
    <t>Amortisation &amp; depreciation</t>
  </si>
  <si>
    <t>Asset</t>
  </si>
  <si>
    <t>Historic cost</t>
  </si>
  <si>
    <t>Amortisation / Depreciation years</t>
  </si>
  <si>
    <t>Yearly amount</t>
  </si>
  <si>
    <t>Balance sheet</t>
  </si>
  <si>
    <t>Year 0</t>
  </si>
  <si>
    <t>Non-current assets</t>
  </si>
  <si>
    <t>Total non-current assets</t>
  </si>
  <si>
    <t>Current assets</t>
  </si>
  <si>
    <t>Cash at bank and in hand</t>
  </si>
  <si>
    <t>Debtors (due within year)</t>
  </si>
  <si>
    <t>Total current assets</t>
  </si>
  <si>
    <t>Total assets</t>
  </si>
  <si>
    <t>Creditors (within the year)</t>
  </si>
  <si>
    <t>Trade creditors</t>
  </si>
  <si>
    <t>Other creditors</t>
  </si>
  <si>
    <t>Total current liabilities</t>
  </si>
  <si>
    <t>Equity</t>
  </si>
  <si>
    <t>Profit / loss</t>
  </si>
  <si>
    <t>Retained earnings / loss brought forward</t>
  </si>
  <si>
    <t>Total equity</t>
  </si>
  <si>
    <t>Liabilities over the year</t>
  </si>
  <si>
    <t>Other creditors over the year</t>
  </si>
  <si>
    <t>Total liabilities over the year</t>
  </si>
  <si>
    <t>Control</t>
  </si>
  <si>
    <t>PROFITABILITY</t>
  </si>
  <si>
    <t>LIQUIDITY</t>
  </si>
  <si>
    <t>Current ratio : current assets / current liabilities</t>
  </si>
  <si>
    <t>TURNOVER RATIOS</t>
  </si>
  <si>
    <t>Ratios</t>
  </si>
  <si>
    <t>Gross profit margin: gross profit / net sales</t>
  </si>
  <si>
    <t>Operating profit margin: operating profit / net sales</t>
  </si>
  <si>
    <t>Profit projections</t>
  </si>
  <si>
    <t>Registered office</t>
  </si>
  <si>
    <t>Accountant's fees</t>
  </si>
  <si>
    <t>Month var %</t>
  </si>
  <si>
    <t>Monthly price</t>
  </si>
  <si>
    <t>Standard membership</t>
  </si>
  <si>
    <t>Advanced membership</t>
  </si>
  <si>
    <t>Premium membership</t>
  </si>
  <si>
    <t>ID verification</t>
  </si>
  <si>
    <t>Units</t>
  </si>
  <si>
    <t>Price</t>
  </si>
  <si>
    <t>Users estimate 1st year</t>
  </si>
  <si>
    <t>New subs</t>
  </si>
  <si>
    <t xml:space="preserve">Standard membership </t>
  </si>
  <si>
    <t xml:space="preserve">Advanced membership </t>
  </si>
  <si>
    <t>Total cost of services sold</t>
  </si>
  <si>
    <t>Refunds</t>
  </si>
  <si>
    <t>Refunds Advanced membership</t>
  </si>
  <si>
    <t>Refunds Premium membership</t>
  </si>
  <si>
    <t>Total refunds</t>
  </si>
  <si>
    <t>Net sales</t>
  </si>
  <si>
    <t>Inflows</t>
  </si>
  <si>
    <t>Outflows</t>
  </si>
  <si>
    <t>Expenses 1st year</t>
  </si>
  <si>
    <t>Owner's funds</t>
  </si>
  <si>
    <t>Accruals</t>
  </si>
  <si>
    <t>Deferrals</t>
  </si>
  <si>
    <t>Total deferrals</t>
  </si>
  <si>
    <t>Overall total expenses</t>
  </si>
  <si>
    <t>Corporation tax (19%)</t>
  </si>
  <si>
    <t>Accruals - Corporation tax (19%)</t>
  </si>
  <si>
    <t>Prepayments</t>
  </si>
  <si>
    <t>Accruals - Corporation tax ( 19% )</t>
  </si>
  <si>
    <t>Stripe fees</t>
  </si>
  <si>
    <t>EEA &amp; CH representative GDPR</t>
  </si>
  <si>
    <t>Computations</t>
  </si>
  <si>
    <t>Stripe charges</t>
  </si>
  <si>
    <t>%</t>
  </si>
  <si>
    <t>Fixed</t>
  </si>
  <si>
    <t>UK</t>
  </si>
  <si>
    <t>EEA</t>
  </si>
  <si>
    <t>Users geography</t>
  </si>
  <si>
    <t>International</t>
  </si>
  <si>
    <t>Transactions</t>
  </si>
  <si>
    <t>Region</t>
  </si>
  <si>
    <t>Overall sales</t>
  </si>
  <si>
    <t>Users %</t>
  </si>
  <si>
    <t>Bases for calculation</t>
  </si>
  <si>
    <t xml:space="preserve">Platform MVP development </t>
  </si>
  <si>
    <t>Revenue Break-even</t>
  </si>
  <si>
    <t>BREAK-EVEN ANALYSIS</t>
  </si>
  <si>
    <t>Year 4</t>
  </si>
  <si>
    <t>4th year</t>
  </si>
  <si>
    <t>Change %</t>
  </si>
  <si>
    <t>5th year</t>
  </si>
  <si>
    <t>Year 5</t>
  </si>
  <si>
    <t>Year four</t>
  </si>
  <si>
    <t>Year five</t>
  </si>
  <si>
    <t>-</t>
  </si>
  <si>
    <t>Net profit margin: net profit / net sales</t>
  </si>
  <si>
    <t>Business valuation</t>
  </si>
  <si>
    <t>Method: Discounted Cash Flow</t>
  </si>
  <si>
    <t>Net cash flows</t>
  </si>
  <si>
    <t>Year</t>
  </si>
  <si>
    <t>Discount rate</t>
  </si>
  <si>
    <t>Discounted cash flows</t>
  </si>
  <si>
    <t>Discount coefficient</t>
  </si>
  <si>
    <t>Pre-money valuation</t>
  </si>
  <si>
    <t>Post-money valuation</t>
  </si>
  <si>
    <t>Perpetual rate</t>
  </si>
  <si>
    <t>Terminal value</t>
  </si>
  <si>
    <t>Present value</t>
  </si>
  <si>
    <t>Prepared on assumption that not VAT registered</t>
  </si>
  <si>
    <t>Cyber insurance (ChatGPT rough estimate)</t>
  </si>
  <si>
    <t>ICO registration (annual)</t>
  </si>
  <si>
    <t>Founder's own expenditure to date</t>
  </si>
  <si>
    <t>Item</t>
  </si>
  <si>
    <t>Amount</t>
  </si>
  <si>
    <t>Domain name (OVH)</t>
  </si>
  <si>
    <t>ID verification service (@€2.50 x approved verification)</t>
  </si>
  <si>
    <t>Email marketing (Resend: Pro Transactional)</t>
  </si>
  <si>
    <t>Email marketing (Resend: Pro Marketing)</t>
  </si>
  <si>
    <t>Hosting plan (Supabase: Pro plan)</t>
  </si>
  <si>
    <t>Stripe fees (payment gateway)</t>
  </si>
  <si>
    <t>ID verifications (@€2.50 x approved verification)</t>
  </si>
  <si>
    <t xml:space="preserve">Accountant's fees </t>
  </si>
  <si>
    <t>Running expenses</t>
  </si>
  <si>
    <t xml:space="preserve">Start-up investments </t>
  </si>
  <si>
    <t>Operating expenses</t>
  </si>
  <si>
    <t>Fees revalued yearly at 4%</t>
  </si>
  <si>
    <t xml:space="preserve">Accruals - Accountant's fees </t>
  </si>
  <si>
    <t>Company formation - Founder paid</t>
  </si>
  <si>
    <t>Legal advice - Founder paid</t>
  </si>
  <si>
    <t>Registered office - Founder paid</t>
  </si>
  <si>
    <t>Advertising (approx. spent) - Founder paid</t>
  </si>
  <si>
    <t>Hosting space (Wix) - Founder paid</t>
  </si>
  <si>
    <t>Wix email marketing - Founder paid</t>
  </si>
  <si>
    <t>Hosting space (OVH) - Founder paid</t>
  </si>
  <si>
    <t>Stackblitz: AI developing tool - Founder paid</t>
  </si>
  <si>
    <t>ID verification: Idenfy pre-reg verifications - Founder paid</t>
  </si>
  <si>
    <t>ID verification: yearly extension - Founder paid</t>
  </si>
  <si>
    <t>Accountant's fees - Founder paid</t>
  </si>
  <si>
    <t>EEA &amp; CH representative GDPR - Founder paid</t>
  </si>
  <si>
    <t>ICO annual registration - Founder paid</t>
  </si>
  <si>
    <t>Domain annual (Wix: thefoundersjunction.com) - Founder paid</t>
  </si>
  <si>
    <t>Email address + Google workspace - Founder paid</t>
  </si>
  <si>
    <t>Domain (OVH: thefoundersjunction.network) - Founder paid</t>
  </si>
  <si>
    <t>Investor's funds</t>
  </si>
  <si>
    <t>Share capital - Founder</t>
  </si>
  <si>
    <t>Pre-operational expenses by founder</t>
  </si>
  <si>
    <t>Pre-operational expenses</t>
  </si>
  <si>
    <t>Total pre-operational expenses (paid by founder)</t>
  </si>
  <si>
    <t>Existing prototype (not deployed)</t>
  </si>
  <si>
    <t>Losses brought forward</t>
  </si>
  <si>
    <t>Taxable profit</t>
  </si>
  <si>
    <t>Users estimate next years</t>
  </si>
  <si>
    <t>Start balance</t>
  </si>
  <si>
    <t>Churn monthly rates (cancels)</t>
  </si>
  <si>
    <t>Monthly acquisitions from ads</t>
  </si>
  <si>
    <t>Benchmark Source(s): ProfitWell, OpenView, Recurly</t>
  </si>
  <si>
    <t>Churn rate</t>
  </si>
  <si>
    <t>Final balance</t>
  </si>
  <si>
    <t>Total
New subs</t>
  </si>
  <si>
    <t>Acquisitions tier distribution</t>
  </si>
  <si>
    <t>% are calculated over total new monthly users</t>
  </si>
  <si>
    <t>New acquisitions</t>
  </si>
  <si>
    <t>Rates</t>
  </si>
  <si>
    <t>Churns</t>
  </si>
  <si>
    <t>Yearly acquisitions</t>
  </si>
  <si>
    <t>Overall</t>
  </si>
  <si>
    <t>Total
churns</t>
  </si>
  <si>
    <t>Initial user balance</t>
  </si>
  <si>
    <t>Organic (organic + social shares + WoM) total new users acquisition</t>
  </si>
  <si>
    <t>New users from paid ads</t>
  </si>
  <si>
    <t>Annual acquisitions from ads</t>
  </si>
  <si>
    <t>While monthly advertising spend is projected to remain constant, we expect the cost per acquisition (CPA) to decrease annually as brand awareness, social proof, and campaign optimisation improve. Additionally, organic traffic from search engines, user referrals, and social media exposure will grow year-on-year. Combined, these factors are expected to significantly increase yearly user registrations without a corresponding rise in advert spending</t>
  </si>
  <si>
    <t>Organic acquisitions</t>
  </si>
  <si>
    <t>Churn rate has been calculated as: churned users (user who cancelled) / users at the beginning of the period.
For the first month only, the number used at denominator was the new users.</t>
  </si>
  <si>
    <t>User base (currently registered)</t>
  </si>
  <si>
    <t>Annual User Base (total users)</t>
  </si>
  <si>
    <t>Opening user balance</t>
  </si>
  <si>
    <t>Service lines</t>
  </si>
  <si>
    <t>Average user stay</t>
  </si>
  <si>
    <t>* Annual User Base = 12 x (1-c/2) x O + 6 x (1-c/2) x N
It is the total number of unique users who held an active membership during the calendar year, including those who cancelled.</t>
  </si>
  <si>
    <t>Annual User Base (total users-month) *</t>
  </si>
  <si>
    <t>This means we apply a different churn hazard depending on when during the year they join their tier. For users joining during the year we apply an average churn hazard of six months (as we don't know when exactly they have joined)</t>
  </si>
  <si>
    <t>Total yearly churns are calculated as follows: c x O + c/2 x N
whereas c is churn rate, O is opening balance users, and N is the new users during the year</t>
  </si>
  <si>
    <t xml:space="preserve">We project a gradual increase in paid conversion rates over the next three years, driven by improved brand awareness, social proof, and platform maturity. 
For paid tiers, churn is modeled at 30% to 40% monthly during the early stages of Year 1, consistent with freemium platform benchmarks. As retention strategies improve and the product’s value becomes clearer, annual churns are expected to gradually decline as shown on the table.
As a conservative measure, we applied to paid tiers the worst performing churn rates from the provided benchmark statistics for our industry </t>
  </si>
  <si>
    <t>This rate is calculated as a % of the total new users</t>
  </si>
  <si>
    <t>This metric is calculated as the pondered average in months of opening balance users' and new users' stay during each year</t>
  </si>
  <si>
    <t>VAT purchases</t>
  </si>
  <si>
    <t>Tax</t>
  </si>
  <si>
    <t>VAT</t>
  </si>
  <si>
    <t>* Where currency is not GBP a conversion rate has been applied as on mid 2025</t>
  </si>
  <si>
    <t>*** For EEA we assume using the so called One-Stop-Shop scheme (OSS) whereby a business can register in one country only and then pay the due VAT based on each country's regime</t>
  </si>
  <si>
    <t>Avg Rate **</t>
  </si>
  <si>
    <t>Sales tax</t>
  </si>
  <si>
    <t>GST</t>
  </si>
  <si>
    <t>USA</t>
  </si>
  <si>
    <t>Canada</t>
  </si>
  <si>
    <t>Australia</t>
  </si>
  <si>
    <t>New Zealand</t>
  </si>
  <si>
    <t>** For simplification reasons we use a single, average rate on each of the regions shown</t>
  </si>
  <si>
    <t>Input tax offset</t>
  </si>
  <si>
    <t>Yes</t>
  </si>
  <si>
    <t>No</t>
  </si>
  <si>
    <t>GST/HST/QST</t>
  </si>
  <si>
    <t>Yearly threshold *</t>
  </si>
  <si>
    <t>Totals quarter</t>
  </si>
  <si>
    <t>Totals 1st yr</t>
  </si>
  <si>
    <t>Distribution</t>
  </si>
  <si>
    <t>Regions</t>
  </si>
  <si>
    <t>Description</t>
  </si>
  <si>
    <t>Basis for calc</t>
  </si>
  <si>
    <t>N.B.: VAT/GST registration thresholds are typically assessed on a rolling 12-month turnover basis. For simplicity, this model evaluates the total annual turnover for each year.
Where this yearly total exceeds the relevant threshold, we assume VAT/GST obligations (collection and filing) apply from the beginning of that year.</t>
  </si>
  <si>
    <t>For simplicity, on years 2 onwards we assume VAT accrues uniformly through the year, so at year end 25% of annual tax is due</t>
  </si>
  <si>
    <t>Accruals at year end</t>
  </si>
  <si>
    <t>Tax refunds</t>
  </si>
  <si>
    <t>1st quarter</t>
  </si>
  <si>
    <t>2nd quarter</t>
  </si>
  <si>
    <t>3rd quarter</t>
  </si>
  <si>
    <t>4th quarter</t>
  </si>
  <si>
    <t>Total year</t>
  </si>
  <si>
    <t>VAT 1st year</t>
  </si>
  <si>
    <t>VAT next years</t>
  </si>
  <si>
    <t>VAT (or equivalent) payments</t>
  </si>
  <si>
    <t>Accrued expenses</t>
  </si>
  <si>
    <t>Deferred expenses</t>
  </si>
  <si>
    <t>Revenue from previous year</t>
  </si>
  <si>
    <t>Payments previous year's accruals</t>
  </si>
  <si>
    <t>VAT (or equivalent tax) collected on sales</t>
  </si>
  <si>
    <t>Tax *</t>
  </si>
  <si>
    <t>Users average stay (in months)</t>
  </si>
  <si>
    <t>CUSTOMERS METRICS</t>
  </si>
  <si>
    <t>Churn rates</t>
  </si>
  <si>
    <t>ID verifications</t>
  </si>
  <si>
    <t>% on total</t>
  </si>
  <si>
    <t>Average users (Avg user base)</t>
  </si>
  <si>
    <t xml:space="preserve">Sales </t>
  </si>
  <si>
    <t>Standard membership (sales from ID verifications)</t>
  </si>
  <si>
    <t>ACL (Average User Lifetime): 1 / Churn rate</t>
  </si>
  <si>
    <t>ARPU (Average Revenue per User): Net sales per tier / Avg users</t>
  </si>
  <si>
    <t>LTV (LifeTime Value) per user: ARPU * ACL</t>
  </si>
  <si>
    <t>YoY growth: (User bal year end - User bal start year) / User bal start year</t>
  </si>
  <si>
    <t>ROE: net income / equity</t>
  </si>
  <si>
    <t>ROI (ROCE) : net income / avg capital employed</t>
  </si>
  <si>
    <t>Capital Employed (“Net Assets”)</t>
  </si>
  <si>
    <t>ROA : net income / avg total assets</t>
  </si>
  <si>
    <t>Cost of services (COGS)</t>
  </si>
  <si>
    <t>Total amortisation/depreciation</t>
  </si>
  <si>
    <t>Cash ratio: Cash&amp;bank / current liabilities</t>
  </si>
  <si>
    <t>Operating Cash Flow Ratio: Operating cash flow / current liablts</t>
  </si>
  <si>
    <t>Asset turnover : net sales / avg total assets</t>
  </si>
  <si>
    <t>Contribution margin</t>
  </si>
  <si>
    <t>Variable costs *</t>
  </si>
  <si>
    <t>* Advertising: given the correlation between amount spent on FB Ads and number of new members subscriptions, these costs are considered variable</t>
  </si>
  <si>
    <t>Useful calculations</t>
  </si>
  <si>
    <t>Fixed costs</t>
  </si>
  <si>
    <t>Contribution margin (Net sales - Variable costs)</t>
  </si>
  <si>
    <t>Fixed costs / Contribution margin ratio</t>
  </si>
  <si>
    <t>Units (users) Break-even</t>
  </si>
  <si>
    <t>Breakeven revenue / ARPU</t>
  </si>
  <si>
    <t>CM ratio (Contribution margin / Net sales)</t>
  </si>
  <si>
    <t>Contribution margin OTHER FORMULA</t>
  </si>
  <si>
    <t>Unit selling price (ARPU)</t>
  </si>
  <si>
    <t>Variable cost per user-year</t>
  </si>
  <si>
    <t>Avrg users-year</t>
  </si>
  <si>
    <t>Units breakeven</t>
  </si>
  <si>
    <t>Variable cost per user</t>
  </si>
  <si>
    <t>Contribution margin per user (ARPU - Varble cost per user)</t>
  </si>
  <si>
    <t>As brand awareness grows and ad campaigns are optimized, cost per lead (CPL) is forecast to decrease by avg 25% per year. Taking into account an expected 5% annual increase in ad costs, a net CPL reduction of approx  20% per year is estimated</t>
  </si>
  <si>
    <t>LTV / Paid CAC ratio</t>
  </si>
  <si>
    <t>Cyber insurance (rough estimate)</t>
  </si>
  <si>
    <t>METRIC</t>
  </si>
  <si>
    <t>* The above annual figures are for reference only. To see the figures projected see Expenses tab</t>
  </si>
  <si>
    <t>Amount (Reference only)</t>
  </si>
  <si>
    <t>Forecast expenditure (Reference only) *</t>
  </si>
  <si>
    <t>India</t>
  </si>
  <si>
    <t>Sales - exp</t>
  </si>
  <si>
    <t>Users India</t>
  </si>
  <si>
    <t>Total users</t>
  </si>
  <si>
    <t>Avg CPL</t>
  </si>
  <si>
    <t>Exch rate (07/08/2025)</t>
  </si>
  <si>
    <t>Local currency</t>
  </si>
  <si>
    <t>USD converted 07/08/2025 at 1 USD = 0.74517856 GBP</t>
  </si>
  <si>
    <t>EUR converted 07/08/2025 at 1 EUR = 0.86700073 GBP</t>
  </si>
  <si>
    <t>Advertising in UK</t>
  </si>
  <si>
    <t>Advertising in EEA</t>
  </si>
  <si>
    <t>Users UK</t>
  </si>
  <si>
    <t>Users EEA</t>
  </si>
  <si>
    <t>Users US</t>
  </si>
  <si>
    <t>Users Canada</t>
  </si>
  <si>
    <t>Users Australia</t>
  </si>
  <si>
    <t>Users New Zealand</t>
  </si>
  <si>
    <t>Advertising in India</t>
  </si>
  <si>
    <t>Advertising in US</t>
  </si>
  <si>
    <t>Advertising in Canada</t>
  </si>
  <si>
    <t>Advertising in Australia</t>
  </si>
  <si>
    <t>Advertising in New Zealand</t>
  </si>
  <si>
    <t>CPL (GBP)</t>
  </si>
  <si>
    <t>Amount GBP</t>
  </si>
  <si>
    <t>Total marketing / ads costs</t>
  </si>
  <si>
    <t>Advertising (Facebook/Instagram ads)</t>
  </si>
  <si>
    <t>VAT (or equivalent) collected on sales</t>
  </si>
  <si>
    <t>Net VAT Carry-forward</t>
  </si>
  <si>
    <t>N/A</t>
  </si>
  <si>
    <t>Tax balance</t>
  </si>
  <si>
    <t>Sales only</t>
  </si>
  <si>
    <t>EEA (OSS)***</t>
  </si>
  <si>
    <t>New from ads</t>
  </si>
  <si>
    <t>Geography %</t>
  </si>
  <si>
    <t>Spend</t>
  </si>
  <si>
    <t>Monthly spend on ads</t>
  </si>
  <si>
    <t>Total acqstns from ads</t>
  </si>
  <si>
    <t>Recap ads costs 1st year</t>
  </si>
  <si>
    <t>Yearly ad spend</t>
  </si>
  <si>
    <t>US</t>
  </si>
  <si>
    <t>Avg CPL (GBP)</t>
  </si>
  <si>
    <t>New ad users</t>
  </si>
  <si>
    <t>Ad spend %</t>
  </si>
  <si>
    <t>Paid CAC (Customer Acquisition Cost): Marktng expss / users acquird from paid ads</t>
  </si>
  <si>
    <t>Worldwide trademark (Wipo 4 classes) authority fees only</t>
  </si>
  <si>
    <t>Investment at Year 2</t>
  </si>
  <si>
    <t>Worldwide trademark (Wipo 4 classes) authority fees</t>
  </si>
  <si>
    <t>Director's salary</t>
  </si>
  <si>
    <t>CTO's salary</t>
  </si>
  <si>
    <t>Director's salary *</t>
  </si>
  <si>
    <t>CTO's salary *</t>
  </si>
  <si>
    <r>
      <t xml:space="preserve">* Total annual Employer contribtns is below Employment allowance threshold (allowance is now £10,500).  TFJ director will not be employed by any other company he controls; CTO will be employed part-time. We therefore consider </t>
    </r>
    <r>
      <rPr>
        <b/>
        <sz val="9.5"/>
        <rFont val="Calibri"/>
        <family val="2"/>
        <scheme val="minor"/>
      </rPr>
      <t>Nil employer contributions</t>
    </r>
    <r>
      <rPr>
        <sz val="9.5"/>
        <rFont val="Calibri"/>
        <family val="2"/>
        <scheme val="minor"/>
      </rPr>
      <t xml:space="preserve"> due</t>
    </r>
  </si>
  <si>
    <t>Graphs</t>
  </si>
  <si>
    <t>Net profit</t>
  </si>
  <si>
    <t>* For simplicity reasons, we also assume eligible employees opt out the autoenrolment</t>
  </si>
  <si>
    <t>Ask and Funding Allocation</t>
  </si>
  <si>
    <t>Category</t>
  </si>
  <si>
    <t>Advertising</t>
  </si>
  <si>
    <t>Salary</t>
  </si>
  <si>
    <t>Sundry</t>
  </si>
  <si>
    <t>Marketing</t>
  </si>
  <si>
    <t>Compliance</t>
  </si>
  <si>
    <t>IT infra</t>
  </si>
  <si>
    <t>Team &amp; product build</t>
  </si>
  <si>
    <r>
      <rPr>
        <b/>
        <sz val="9.5"/>
        <color theme="1"/>
        <rFont val="Calibri"/>
        <family val="2"/>
        <scheme val="minor"/>
      </rPr>
      <t>ARPU</t>
    </r>
    <r>
      <rPr>
        <sz val="9.5"/>
        <color theme="1"/>
        <rFont val="Calibri"/>
        <family val="2"/>
        <scheme val="minor"/>
      </rPr>
      <t xml:space="preserve"> (Average Revenue per User): Net sales per tier / Avg users</t>
    </r>
  </si>
  <si>
    <r>
      <rPr>
        <b/>
        <sz val="9.5"/>
        <color theme="1"/>
        <rFont val="Calibri"/>
        <family val="2"/>
        <scheme val="minor"/>
      </rPr>
      <t>LTV</t>
    </r>
    <r>
      <rPr>
        <sz val="9.5"/>
        <color theme="1"/>
        <rFont val="Calibri"/>
        <family val="2"/>
        <scheme val="minor"/>
      </rPr>
      <t xml:space="preserve"> (LifeTime Value) per user: ARPU * ACL</t>
    </r>
  </si>
  <si>
    <r>
      <rPr>
        <b/>
        <sz val="9.5"/>
        <color theme="1"/>
        <rFont val="Calibri"/>
        <family val="2"/>
        <scheme val="minor"/>
      </rPr>
      <t>Paid CAC</t>
    </r>
    <r>
      <rPr>
        <sz val="9.5"/>
        <color theme="1"/>
        <rFont val="Calibri"/>
        <family val="2"/>
        <scheme val="minor"/>
      </rPr>
      <t xml:space="preserve"> (Customer Acquisition Cost): Marktng expss / users acquird from paid ads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</si>
</sst>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quot;£&quot;#,##0"/>
    <numFmt numFmtId="166" formatCode="&quot;€&quot;\ #,##0.00"/>
    <numFmt numFmtId="167" formatCode="[$$-409]#,##0.00"/>
    <numFmt numFmtId="168" formatCode="[$€-2]\ #,##0.00"/>
    <numFmt numFmtId="169" formatCode="#,##0.000"/>
    <numFmt numFmtId="170" formatCode="#,##0.000000"/>
  </numFmts>
  <fonts count="28" x14ac:knownFonts="1">
    <font>
      <sz val="11"/>
      <color theme="1"/>
      <name val="Calibri"/>
      <family val="2"/>
      <scheme val="minor"/>
    </font>
    <font>
      <b/>
      <sz val="11"/>
      <color theme="1"/>
      <name val="Calibri"/>
      <family val="2"/>
      <scheme val="minor"/>
    </font>
    <font>
      <b/>
      <sz val="12"/>
      <color rgb="FFFF0000"/>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b/>
      <sz val="9.5"/>
      <color theme="1"/>
      <name val="Calibri"/>
      <family val="2"/>
      <scheme val="minor"/>
    </font>
    <font>
      <sz val="9.5"/>
      <color theme="1"/>
      <name val="Calibri"/>
      <family val="2"/>
      <scheme val="minor"/>
    </font>
    <font>
      <b/>
      <sz val="10"/>
      <color rgb="FFC00000"/>
      <name val="Calibri"/>
      <family val="2"/>
      <scheme val="minor"/>
    </font>
    <font>
      <sz val="10"/>
      <color rgb="FFC00000"/>
      <name val="Calibri"/>
      <family val="2"/>
      <scheme val="minor"/>
    </font>
    <font>
      <b/>
      <sz val="9.5"/>
      <color rgb="FFC00000"/>
      <name val="Calibri"/>
      <family val="2"/>
      <scheme val="minor"/>
    </font>
    <font>
      <sz val="9.5"/>
      <color rgb="FFFF0000"/>
      <name val="Calibri"/>
      <family val="2"/>
      <scheme val="minor"/>
    </font>
    <font>
      <b/>
      <sz val="11"/>
      <color rgb="FFFF0000"/>
      <name val="Calibri"/>
      <family val="2"/>
      <scheme val="minor"/>
    </font>
    <font>
      <b/>
      <sz val="10"/>
      <color rgb="FFFF0000"/>
      <name val="Calibri"/>
      <family val="2"/>
      <scheme val="minor"/>
    </font>
    <font>
      <b/>
      <sz val="14"/>
      <color rgb="FFFF0000"/>
      <name val="Calibri"/>
      <family val="2"/>
      <scheme val="minor"/>
    </font>
    <font>
      <sz val="14"/>
      <color theme="1"/>
      <name val="Calibri"/>
      <family val="2"/>
      <scheme val="minor"/>
    </font>
    <font>
      <sz val="9.5"/>
      <name val="Calibri"/>
      <family val="2"/>
      <scheme val="minor"/>
    </font>
    <font>
      <b/>
      <sz val="9.5"/>
      <color rgb="FFFF0000"/>
      <name val="Calibri"/>
      <family val="2"/>
      <scheme val="minor"/>
    </font>
    <font>
      <b/>
      <sz val="9.5"/>
      <color theme="4" tint="-0.249977111117893"/>
      <name val="Calibri"/>
      <family val="2"/>
      <scheme val="minor"/>
    </font>
    <font>
      <b/>
      <sz val="9.5"/>
      <name val="Calibri"/>
      <family val="2"/>
      <scheme val="minor"/>
    </font>
    <font>
      <b/>
      <sz val="11"/>
      <name val="Calibri"/>
      <family val="2"/>
      <scheme val="minor"/>
    </font>
    <font>
      <sz val="11"/>
      <name val="Calibri"/>
      <family val="2"/>
      <scheme val="minor"/>
    </font>
    <font>
      <sz val="9.5"/>
      <color theme="4" tint="-0.249977111117893"/>
      <name val="Calibri"/>
      <family val="2"/>
      <scheme val="minor"/>
    </font>
    <font>
      <sz val="8"/>
      <color theme="1"/>
      <name val="Calibri"/>
      <family val="2"/>
      <scheme val="minor"/>
    </font>
    <font>
      <sz val="10"/>
      <color rgb="FFFF0000"/>
      <name val="Calibri"/>
      <family val="2"/>
      <scheme val="minor"/>
    </font>
    <font>
      <b/>
      <sz val="10"/>
      <color theme="8" tint="-0.249977111117893"/>
      <name val="Calibri"/>
      <family val="2"/>
      <scheme val="minor"/>
    </font>
    <font>
      <sz val="10"/>
      <color theme="8" tint="-0.249977111117893"/>
      <name val="Calibri"/>
      <family val="2"/>
      <scheme val="minor"/>
    </font>
    <font>
      <b/>
      <sz val="10"/>
      <name val="Calibri"/>
      <family val="2"/>
      <scheme val="minor"/>
    </font>
  </fonts>
  <fills count="26">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bgColor indexed="64"/>
      </patternFill>
    </fill>
    <fill>
      <patternFill patternType="solid">
        <fgColor theme="4"/>
        <bgColor indexed="64"/>
      </patternFill>
    </fill>
    <fill>
      <patternFill patternType="solid">
        <fgColor theme="5" tint="0.79998168889431442"/>
        <bgColor indexed="64"/>
      </patternFill>
    </fill>
    <fill>
      <patternFill patternType="solid">
        <fgColor rgb="FF3399FF"/>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CEF4C8"/>
        <bgColor indexed="64"/>
      </patternFill>
    </fill>
    <fill>
      <patternFill patternType="solid">
        <fgColor rgb="FFF8CAAE"/>
        <bgColor indexed="64"/>
      </patternFill>
    </fill>
    <fill>
      <patternFill patternType="solid">
        <fgColor rgb="FFCCFF33"/>
        <bgColor indexed="64"/>
      </patternFill>
    </fill>
    <fill>
      <patternFill patternType="solid">
        <fgColor rgb="FFFFC00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79998168889431442"/>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017">
    <xf numFmtId="0" fontId="0" fillId="0" borderId="0" xfId="0"/>
    <xf numFmtId="0" fontId="2" fillId="0" borderId="0" xfId="0" applyFont="1"/>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164" fontId="0" fillId="0" borderId="0" xfId="0" applyNumberFormat="1" applyAlignment="1">
      <alignment vertical="center"/>
    </xf>
    <xf numFmtId="0" fontId="3" fillId="0" borderId="0" xfId="0" applyFont="1" applyAlignment="1">
      <alignment vertical="center"/>
    </xf>
    <xf numFmtId="0" fontId="0" fillId="2" borderId="0" xfId="0" applyFill="1" applyAlignment="1">
      <alignment vertical="center"/>
    </xf>
    <xf numFmtId="0" fontId="0" fillId="0" borderId="0" xfId="0" applyAlignment="1">
      <alignment horizontal="right" vertical="center"/>
    </xf>
    <xf numFmtId="0" fontId="0" fillId="0" borderId="0" xfId="0" applyAlignment="1">
      <alignment vertical="center" wrapText="1"/>
    </xf>
    <xf numFmtId="0" fontId="5" fillId="0" borderId="0" xfId="0" applyFont="1" applyAlignment="1">
      <alignment vertical="center"/>
    </xf>
    <xf numFmtId="0" fontId="1" fillId="0" borderId="0" xfId="0" applyFont="1"/>
    <xf numFmtId="165" fontId="0" fillId="0" borderId="0" xfId="0" applyNumberFormat="1"/>
    <xf numFmtId="0" fontId="7" fillId="0" borderId="14"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xf>
    <xf numFmtId="0" fontId="7" fillId="0" borderId="0" xfId="0" applyFont="1" applyAlignment="1">
      <alignment vertical="center"/>
    </xf>
    <xf numFmtId="0" fontId="7" fillId="0" borderId="10" xfId="0" applyFont="1" applyBorder="1" applyAlignment="1">
      <alignment horizontal="left" vertical="center" wrapText="1"/>
    </xf>
    <xf numFmtId="164" fontId="7" fillId="0" borderId="0" xfId="0" applyNumberFormat="1" applyFont="1" applyAlignment="1">
      <alignment horizontal="right" vertical="center" wrapText="1"/>
    </xf>
    <xf numFmtId="0" fontId="7" fillId="0" borderId="0" xfId="0" applyFont="1" applyAlignment="1">
      <alignment horizontal="right" vertical="center" wrapText="1"/>
    </xf>
    <xf numFmtId="0" fontId="7" fillId="0" borderId="0" xfId="0" applyFont="1" applyAlignment="1">
      <alignment horizontal="left" vertical="center" wrapText="1"/>
    </xf>
    <xf numFmtId="0" fontId="6" fillId="0" borderId="0" xfId="0" applyFont="1" applyAlignment="1">
      <alignment horizontal="center" vertical="center" wrapText="1"/>
    </xf>
    <xf numFmtId="165" fontId="7" fillId="0" borderId="0" xfId="0" applyNumberFormat="1" applyFont="1" applyAlignment="1">
      <alignment horizontal="right" vertical="center" wrapText="1"/>
    </xf>
    <xf numFmtId="3" fontId="7"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165" fontId="6" fillId="0" borderId="0" xfId="0" applyNumberFormat="1" applyFont="1" applyAlignment="1">
      <alignment horizontal="right" vertical="center" wrapText="1"/>
    </xf>
    <xf numFmtId="0" fontId="7" fillId="0" borderId="0" xfId="0" applyFont="1" applyAlignment="1">
      <alignment horizontal="left" vertical="center"/>
    </xf>
    <xf numFmtId="164" fontId="7" fillId="0" borderId="0" xfId="0" applyNumberFormat="1" applyFont="1" applyAlignment="1">
      <alignment vertical="center"/>
    </xf>
    <xf numFmtId="0" fontId="7" fillId="0" borderId="0" xfId="0" applyFont="1" applyAlignment="1">
      <alignment horizontal="right" vertical="center"/>
    </xf>
    <xf numFmtId="10" fontId="7" fillId="0" borderId="0" xfId="0" applyNumberFormat="1" applyFont="1" applyAlignment="1">
      <alignment vertical="center"/>
    </xf>
    <xf numFmtId="0" fontId="0" fillId="0" borderId="0" xfId="0" applyAlignment="1">
      <alignment horizontal="left" vertical="center"/>
    </xf>
    <xf numFmtId="165" fontId="0" fillId="0" borderId="0" xfId="0" applyNumberFormat="1" applyAlignment="1">
      <alignment vertical="center"/>
    </xf>
    <xf numFmtId="165" fontId="1" fillId="0" borderId="0" xfId="0" applyNumberFormat="1" applyFont="1" applyAlignment="1">
      <alignment vertical="center"/>
    </xf>
    <xf numFmtId="165" fontId="1" fillId="0" borderId="0" xfId="0" applyNumberFormat="1"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0" borderId="13" xfId="0" applyFont="1" applyBorder="1" applyAlignment="1">
      <alignment vertical="center"/>
    </xf>
    <xf numFmtId="0" fontId="4" fillId="0" borderId="0" xfId="0" applyFont="1" applyAlignment="1">
      <alignment vertical="center"/>
    </xf>
    <xf numFmtId="165" fontId="5" fillId="0" borderId="13" xfId="0" applyNumberFormat="1" applyFont="1" applyBorder="1" applyAlignment="1">
      <alignment vertical="center"/>
    </xf>
    <xf numFmtId="0" fontId="0" fillId="0" borderId="11" xfId="0" applyBorder="1" applyAlignment="1">
      <alignment vertical="center"/>
    </xf>
    <xf numFmtId="0" fontId="14" fillId="0" borderId="0" xfId="0" applyFont="1"/>
    <xf numFmtId="0" fontId="15" fillId="0" borderId="0" xfId="0" applyFont="1"/>
    <xf numFmtId="0" fontId="1" fillId="0" borderId="14" xfId="0" applyFont="1" applyBorder="1" applyAlignment="1">
      <alignment horizontal="left" vertical="center" wrapText="1"/>
    </xf>
    <xf numFmtId="0" fontId="1" fillId="0" borderId="14" xfId="0" applyFont="1" applyBorder="1" applyAlignment="1">
      <alignment horizontal="right" vertical="center" wrapText="1"/>
    </xf>
    <xf numFmtId="0" fontId="1" fillId="0" borderId="14" xfId="0" applyFont="1" applyBorder="1" applyAlignment="1">
      <alignment horizontal="center" vertical="center" wrapText="1"/>
    </xf>
    <xf numFmtId="165" fontId="0" fillId="0" borderId="14" xfId="0" applyNumberFormat="1" applyBorder="1"/>
    <xf numFmtId="0" fontId="5" fillId="0" borderId="14" xfId="0" applyFont="1" applyBorder="1" applyAlignment="1">
      <alignment horizontal="center"/>
    </xf>
    <xf numFmtId="165" fontId="5" fillId="0" borderId="14" xfId="0" applyNumberFormat="1" applyFont="1" applyBorder="1" applyAlignment="1">
      <alignment horizontal="center"/>
    </xf>
    <xf numFmtId="0" fontId="0" fillId="0" borderId="14" xfId="0" applyBorder="1" applyAlignment="1">
      <alignment vertical="center"/>
    </xf>
    <xf numFmtId="0" fontId="12" fillId="0" borderId="0" xfId="0" applyFont="1" applyAlignment="1">
      <alignment vertical="center"/>
    </xf>
    <xf numFmtId="0" fontId="14" fillId="0" borderId="0" xfId="0" applyFont="1" applyAlignment="1">
      <alignment vertical="center"/>
    </xf>
    <xf numFmtId="0" fontId="12" fillId="0" borderId="0" xfId="0" applyFont="1" applyAlignment="1">
      <alignment horizontal="center" vertical="center"/>
    </xf>
    <xf numFmtId="164" fontId="0" fillId="0" borderId="1" xfId="0" applyNumberFormat="1" applyBorder="1" applyAlignment="1">
      <alignment vertical="center"/>
    </xf>
    <xf numFmtId="3" fontId="0" fillId="0" borderId="0" xfId="0" applyNumberFormat="1" applyAlignment="1">
      <alignment vertical="center"/>
    </xf>
    <xf numFmtId="9" fontId="0" fillId="0" borderId="0" xfId="0" applyNumberFormat="1" applyAlignment="1">
      <alignment vertical="center"/>
    </xf>
    <xf numFmtId="0" fontId="0" fillId="0" borderId="10" xfId="0" applyBorder="1" applyAlignment="1">
      <alignment horizontal="center" vertical="center" wrapText="1"/>
    </xf>
    <xf numFmtId="0" fontId="1" fillId="0" borderId="0" xfId="0" applyFont="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3" fontId="6" fillId="11" borderId="1" xfId="0" applyNumberFormat="1" applyFont="1" applyFill="1" applyBorder="1" applyAlignment="1">
      <alignment horizontal="right" vertical="center"/>
    </xf>
    <xf numFmtId="0" fontId="1" fillId="10" borderId="0" xfId="0" applyFont="1" applyFill="1" applyAlignment="1">
      <alignment vertical="center"/>
    </xf>
    <xf numFmtId="3" fontId="1" fillId="0" borderId="0" xfId="0" applyNumberFormat="1" applyFont="1" applyAlignment="1">
      <alignment vertical="center"/>
    </xf>
    <xf numFmtId="0" fontId="4" fillId="0" borderId="0" xfId="0" applyFont="1" applyAlignment="1">
      <alignment vertical="center" wrapText="1"/>
    </xf>
    <xf numFmtId="10" fontId="7" fillId="0" borderId="0" xfId="0" applyNumberFormat="1" applyFont="1" applyAlignment="1">
      <alignment horizontal="center" vertical="center"/>
    </xf>
    <xf numFmtId="3" fontId="7" fillId="0" borderId="0" xfId="0" applyNumberFormat="1" applyFont="1" applyAlignment="1">
      <alignment vertical="center"/>
    </xf>
    <xf numFmtId="0" fontId="4" fillId="0" borderId="10" xfId="0" applyFont="1" applyBorder="1" applyAlignment="1">
      <alignment vertical="center"/>
    </xf>
    <xf numFmtId="0" fontId="5" fillId="0" borderId="10" xfId="0" applyFont="1" applyBorder="1" applyAlignment="1">
      <alignment vertical="center"/>
    </xf>
    <xf numFmtId="0" fontId="1" fillId="0" borderId="10" xfId="0" applyFont="1" applyBorder="1" applyAlignment="1">
      <alignment vertical="center"/>
    </xf>
    <xf numFmtId="3" fontId="6" fillId="0" borderId="0" xfId="0" applyNumberFormat="1" applyFont="1" applyAlignment="1">
      <alignment horizontal="right" vertical="center"/>
    </xf>
    <xf numFmtId="0" fontId="8" fillId="0" borderId="4" xfId="0" applyFont="1" applyBorder="1" applyAlignment="1">
      <alignment vertical="center"/>
    </xf>
    <xf numFmtId="0" fontId="8" fillId="0" borderId="14" xfId="0" applyFont="1" applyBorder="1" applyAlignment="1">
      <alignment horizontal="center" vertical="center"/>
    </xf>
    <xf numFmtId="0" fontId="8" fillId="0" borderId="14" xfId="0" applyFont="1" applyBorder="1" applyAlignment="1">
      <alignment horizontal="right" vertical="center"/>
    </xf>
    <xf numFmtId="0" fontId="9" fillId="0" borderId="0" xfId="0" applyFont="1" applyAlignment="1">
      <alignment vertical="center"/>
    </xf>
    <xf numFmtId="0" fontId="4" fillId="0" borderId="14" xfId="0" applyFont="1" applyBorder="1" applyAlignment="1">
      <alignment horizontal="right" vertical="center"/>
    </xf>
    <xf numFmtId="0" fontId="4" fillId="0" borderId="14" xfId="0" applyFont="1" applyBorder="1" applyAlignment="1">
      <alignment horizontal="center" vertical="center"/>
    </xf>
    <xf numFmtId="0" fontId="6" fillId="0" borderId="0" xfId="0" applyFont="1" applyAlignment="1">
      <alignment vertical="center"/>
    </xf>
    <xf numFmtId="0" fontId="6" fillId="4" borderId="15" xfId="0" applyFont="1" applyFill="1" applyBorder="1" applyAlignment="1">
      <alignment vertical="center"/>
    </xf>
    <xf numFmtId="0" fontId="6" fillId="4" borderId="0" xfId="0" applyFont="1" applyFill="1" applyAlignment="1">
      <alignment vertical="center"/>
    </xf>
    <xf numFmtId="0" fontId="7" fillId="0" borderId="14" xfId="0" applyFont="1" applyBorder="1" applyAlignment="1">
      <alignment vertical="center"/>
    </xf>
    <xf numFmtId="165" fontId="16" fillId="0" borderId="14" xfId="0" applyNumberFormat="1" applyFont="1" applyBorder="1" applyAlignment="1">
      <alignment horizontal="right" vertical="center"/>
    </xf>
    <xf numFmtId="165" fontId="7" fillId="0" borderId="14" xfId="0" applyNumberFormat="1" applyFont="1" applyBorder="1" applyAlignment="1">
      <alignment horizontal="right" vertical="center"/>
    </xf>
    <xf numFmtId="165" fontId="7" fillId="0" borderId="14" xfId="0" applyNumberFormat="1" applyFont="1" applyBorder="1" applyAlignment="1">
      <alignment vertical="center"/>
    </xf>
    <xf numFmtId="0" fontId="6" fillId="0" borderId="14" xfId="0" applyFont="1" applyBorder="1" applyAlignment="1">
      <alignment horizontal="center" vertical="center"/>
    </xf>
    <xf numFmtId="165" fontId="6" fillId="4" borderId="3" xfId="0" applyNumberFormat="1" applyFont="1" applyFill="1" applyBorder="1" applyAlignment="1">
      <alignment vertical="center"/>
    </xf>
    <xf numFmtId="166" fontId="7" fillId="0" borderId="0" xfId="0" applyNumberFormat="1" applyFont="1" applyAlignment="1">
      <alignment vertical="center"/>
    </xf>
    <xf numFmtId="164" fontId="6" fillId="0" borderId="14" xfId="0" applyNumberFormat="1" applyFont="1" applyBorder="1" applyAlignment="1">
      <alignment horizontal="center" vertical="center"/>
    </xf>
    <xf numFmtId="0" fontId="6" fillId="2" borderId="0" xfId="0" applyFont="1" applyFill="1" applyAlignment="1">
      <alignment vertical="center"/>
    </xf>
    <xf numFmtId="165" fontId="6" fillId="2" borderId="0" xfId="0" applyNumberFormat="1" applyFont="1" applyFill="1" applyAlignment="1">
      <alignment vertical="center"/>
    </xf>
    <xf numFmtId="165" fontId="6" fillId="2" borderId="14" xfId="0" applyNumberFormat="1" applyFont="1" applyFill="1" applyBorder="1" applyAlignment="1">
      <alignment vertical="center"/>
    </xf>
    <xf numFmtId="0" fontId="7" fillId="0" borderId="3" xfId="0" applyFont="1" applyBorder="1" applyAlignment="1">
      <alignment vertical="center"/>
    </xf>
    <xf numFmtId="0" fontId="10" fillId="0" borderId="14" xfId="0" applyFont="1" applyBorder="1" applyAlignment="1">
      <alignment horizontal="center" vertical="center"/>
    </xf>
    <xf numFmtId="0" fontId="6" fillId="0" borderId="14" xfId="0" applyFont="1" applyBorder="1" applyAlignment="1">
      <alignment horizontal="right" vertical="center"/>
    </xf>
    <xf numFmtId="165" fontId="6" fillId="0" borderId="14" xfId="0" applyNumberFormat="1" applyFont="1" applyBorder="1" applyAlignment="1">
      <alignment horizontal="right" vertical="center"/>
    </xf>
    <xf numFmtId="165" fontId="7" fillId="0" borderId="0" xfId="0" applyNumberFormat="1" applyFont="1" applyAlignment="1">
      <alignment vertical="center"/>
    </xf>
    <xf numFmtId="0" fontId="11" fillId="0" borderId="0" xfId="0" applyFont="1" applyAlignment="1">
      <alignment vertical="center"/>
    </xf>
    <xf numFmtId="164" fontId="6" fillId="0" borderId="7" xfId="0" applyNumberFormat="1" applyFont="1" applyBorder="1" applyAlignment="1">
      <alignment horizontal="right" vertical="center"/>
    </xf>
    <xf numFmtId="0" fontId="0" fillId="0" borderId="10" xfId="0" applyBorder="1" applyAlignment="1">
      <alignment vertical="center"/>
    </xf>
    <xf numFmtId="0" fontId="5" fillId="0" borderId="11" xfId="0" applyFont="1" applyBorder="1" applyAlignment="1">
      <alignment vertical="center"/>
    </xf>
    <xf numFmtId="164" fontId="6" fillId="13" borderId="12" xfId="0" applyNumberFormat="1" applyFont="1" applyFill="1" applyBorder="1" applyAlignment="1">
      <alignment horizontal="right" vertical="center"/>
    </xf>
    <xf numFmtId="0" fontId="8" fillId="0" borderId="10" xfId="0" applyFont="1" applyBorder="1" applyAlignment="1">
      <alignment vertical="center"/>
    </xf>
    <xf numFmtId="0" fontId="4" fillId="4" borderId="0" xfId="0" applyFont="1" applyFill="1" applyAlignment="1">
      <alignment horizontal="center" vertical="center"/>
    </xf>
    <xf numFmtId="0" fontId="8" fillId="4" borderId="0" xfId="0" applyFont="1" applyFill="1" applyAlignment="1">
      <alignment horizontal="center" vertical="center"/>
    </xf>
    <xf numFmtId="0" fontId="4" fillId="4" borderId="0" xfId="0" applyFont="1" applyFill="1" applyAlignment="1">
      <alignment horizontal="right" vertical="center"/>
    </xf>
    <xf numFmtId="0" fontId="4" fillId="4" borderId="0" xfId="0" applyFont="1" applyFill="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165" fontId="4" fillId="4" borderId="13" xfId="0" applyNumberFormat="1" applyFont="1" applyFill="1" applyBorder="1" applyAlignment="1">
      <alignment vertical="center"/>
    </xf>
    <xf numFmtId="0" fontId="4" fillId="0" borderId="13" xfId="0" applyFont="1" applyBorder="1" applyAlignment="1">
      <alignment vertical="center"/>
    </xf>
    <xf numFmtId="0" fontId="8" fillId="0" borderId="13" xfId="0" applyFont="1" applyBorder="1" applyAlignment="1">
      <alignment horizontal="center" vertical="center"/>
    </xf>
    <xf numFmtId="0" fontId="4" fillId="2" borderId="10" xfId="0" applyFont="1" applyFill="1" applyBorder="1" applyAlignment="1">
      <alignment vertical="center"/>
    </xf>
    <xf numFmtId="165" fontId="5" fillId="0" borderId="13" xfId="0" applyNumberFormat="1" applyFont="1" applyBorder="1" applyAlignment="1">
      <alignment horizontal="right" vertical="center"/>
    </xf>
    <xf numFmtId="165" fontId="4" fillId="2" borderId="13" xfId="0" applyNumberFormat="1" applyFont="1" applyFill="1" applyBorder="1" applyAlignment="1">
      <alignment vertical="center"/>
    </xf>
    <xf numFmtId="0" fontId="4" fillId="2" borderId="0" xfId="0" applyFont="1" applyFill="1" applyAlignment="1">
      <alignment vertical="center"/>
    </xf>
    <xf numFmtId="0" fontId="4" fillId="9" borderId="10" xfId="0" applyFont="1" applyFill="1" applyBorder="1" applyAlignment="1">
      <alignment vertical="center"/>
    </xf>
    <xf numFmtId="165" fontId="4" fillId="9" borderId="13" xfId="0" applyNumberFormat="1" applyFont="1" applyFill="1" applyBorder="1" applyAlignment="1">
      <alignment vertical="center"/>
    </xf>
    <xf numFmtId="0" fontId="5" fillId="9" borderId="0" xfId="0" applyFont="1" applyFill="1" applyAlignment="1">
      <alignment vertical="center"/>
    </xf>
    <xf numFmtId="0" fontId="7" fillId="0" borderId="8" xfId="0" applyFont="1" applyBorder="1" applyAlignment="1">
      <alignment vertical="center"/>
    </xf>
    <xf numFmtId="165" fontId="7" fillId="0" borderId="12" xfId="0" applyNumberFormat="1" applyFont="1" applyBorder="1" applyAlignment="1">
      <alignment vertical="center"/>
    </xf>
    <xf numFmtId="0" fontId="13" fillId="0" borderId="14" xfId="0" applyFont="1" applyBorder="1" applyAlignment="1">
      <alignment horizontal="right" vertical="center"/>
    </xf>
    <xf numFmtId="0" fontId="15" fillId="0" borderId="0" xfId="0" applyFont="1" applyAlignment="1">
      <alignment vertical="center"/>
    </xf>
    <xf numFmtId="166" fontId="0" fillId="0" borderId="0" xfId="0" applyNumberFormat="1" applyAlignment="1">
      <alignment vertical="center"/>
    </xf>
    <xf numFmtId="0" fontId="1" fillId="6" borderId="0" xfId="0" applyFont="1" applyFill="1" applyAlignment="1">
      <alignment vertical="center"/>
    </xf>
    <xf numFmtId="0" fontId="1" fillId="7" borderId="0" xfId="0" applyFont="1" applyFill="1" applyAlignment="1">
      <alignment vertical="center"/>
    </xf>
    <xf numFmtId="0" fontId="1" fillId="8" borderId="0" xfId="0" applyFont="1" applyFill="1" applyAlignment="1">
      <alignment vertical="center"/>
    </xf>
    <xf numFmtId="165" fontId="4" fillId="0" borderId="0" xfId="0" applyNumberFormat="1" applyFont="1" applyAlignment="1">
      <alignment horizontal="right" vertical="center"/>
    </xf>
    <xf numFmtId="3" fontId="1" fillId="0" borderId="11" xfId="0" applyNumberFormat="1" applyFont="1" applyBorder="1" applyAlignment="1">
      <alignment vertical="center"/>
    </xf>
    <xf numFmtId="0" fontId="4" fillId="0" borderId="10" xfId="0" applyFont="1" applyBorder="1" applyAlignment="1">
      <alignment horizontal="left" vertical="center" wrapText="1"/>
    </xf>
    <xf numFmtId="0" fontId="4" fillId="0" borderId="11" xfId="0" applyFont="1" applyBorder="1" applyAlignment="1">
      <alignmen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vertical="center" wrapText="1"/>
    </xf>
    <xf numFmtId="0" fontId="4" fillId="0" borderId="9" xfId="0" applyFont="1" applyBorder="1" applyAlignment="1">
      <alignment vertical="center"/>
    </xf>
    <xf numFmtId="0" fontId="13" fillId="0" borderId="7" xfId="0" applyFont="1" applyBorder="1" applyAlignment="1">
      <alignment horizontal="right" vertical="center"/>
    </xf>
    <xf numFmtId="0" fontId="4" fillId="0" borderId="13" xfId="0" applyFont="1" applyBorder="1" applyAlignment="1">
      <alignment horizontal="right" vertical="center"/>
    </xf>
    <xf numFmtId="0" fontId="1" fillId="6" borderId="8" xfId="0" applyFont="1" applyFill="1" applyBorder="1" applyAlignment="1">
      <alignment vertical="center"/>
    </xf>
    <xf numFmtId="3" fontId="1" fillId="6" borderId="9" xfId="0" applyNumberFormat="1" applyFont="1" applyFill="1" applyBorder="1" applyAlignment="1">
      <alignment vertical="center"/>
    </xf>
    <xf numFmtId="0" fontId="4" fillId="0" borderId="7" xfId="0" applyFont="1" applyBorder="1" applyAlignment="1">
      <alignment horizontal="right" vertical="center"/>
    </xf>
    <xf numFmtId="0" fontId="1" fillId="7" borderId="2" xfId="0" applyFont="1" applyFill="1" applyBorder="1" applyAlignment="1">
      <alignment vertical="center"/>
    </xf>
    <xf numFmtId="0" fontId="1" fillId="7" borderId="15" xfId="0" applyFont="1" applyFill="1" applyBorder="1" applyAlignment="1">
      <alignment vertical="center"/>
    </xf>
    <xf numFmtId="0" fontId="4" fillId="8" borderId="8" xfId="0" applyFont="1" applyFill="1" applyBorder="1" applyAlignment="1">
      <alignment vertical="center"/>
    </xf>
    <xf numFmtId="0" fontId="4" fillId="8" borderId="9" xfId="0" applyFont="1" applyFill="1" applyBorder="1" applyAlignment="1">
      <alignment vertical="center"/>
    </xf>
    <xf numFmtId="166" fontId="0" fillId="0" borderId="13" xfId="0" applyNumberFormat="1" applyBorder="1" applyAlignment="1">
      <alignment horizontal="right" vertical="center"/>
    </xf>
    <xf numFmtId="165" fontId="1" fillId="6" borderId="12" xfId="0" applyNumberFormat="1" applyFont="1" applyFill="1" applyBorder="1" applyAlignment="1">
      <alignment horizontal="right" vertical="center"/>
    </xf>
    <xf numFmtId="166" fontId="1" fillId="0" borderId="13" xfId="0" applyNumberFormat="1" applyFont="1" applyBorder="1" applyAlignment="1">
      <alignment horizontal="right" vertical="center"/>
    </xf>
    <xf numFmtId="165" fontId="1" fillId="7" borderId="14" xfId="0" applyNumberFormat="1" applyFont="1" applyFill="1" applyBorder="1" applyAlignment="1">
      <alignment horizontal="right" vertical="center"/>
    </xf>
    <xf numFmtId="165" fontId="4" fillId="8" borderId="12" xfId="0" applyNumberFormat="1" applyFont="1" applyFill="1" applyBorder="1" applyAlignment="1">
      <alignment horizontal="right" vertical="center" wrapText="1"/>
    </xf>
    <xf numFmtId="166" fontId="0" fillId="0" borderId="0" xfId="0" applyNumberFormat="1" applyAlignment="1">
      <alignment horizontal="righ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8" fillId="0" borderId="13" xfId="0" applyFont="1" applyBorder="1" applyAlignment="1">
      <alignment horizontal="right" vertical="center"/>
    </xf>
    <xf numFmtId="0" fontId="4" fillId="13" borderId="10" xfId="0" applyFont="1" applyFill="1" applyBorder="1" applyAlignment="1">
      <alignment vertical="center"/>
    </xf>
    <xf numFmtId="165" fontId="4" fillId="13" borderId="13" xfId="0" applyNumberFormat="1" applyFont="1" applyFill="1" applyBorder="1" applyAlignment="1">
      <alignment vertical="center"/>
    </xf>
    <xf numFmtId="0" fontId="4" fillId="13" borderId="0" xfId="0" applyFont="1" applyFill="1" applyAlignment="1">
      <alignment vertical="center"/>
    </xf>
    <xf numFmtId="0" fontId="6" fillId="14" borderId="14" xfId="0" applyFont="1" applyFill="1" applyBorder="1" applyAlignment="1">
      <alignment vertical="center"/>
    </xf>
    <xf numFmtId="165" fontId="6" fillId="14" borderId="14" xfId="0" applyNumberFormat="1" applyFont="1" applyFill="1" applyBorder="1" applyAlignment="1">
      <alignment vertical="center"/>
    </xf>
    <xf numFmtId="165" fontId="6" fillId="14" borderId="14" xfId="0" applyNumberFormat="1" applyFont="1" applyFill="1" applyBorder="1" applyAlignment="1">
      <alignment horizontal="right" vertical="center"/>
    </xf>
    <xf numFmtId="166" fontId="6" fillId="14" borderId="0" xfId="0" applyNumberFormat="1" applyFont="1" applyFill="1" applyAlignment="1">
      <alignment vertical="center"/>
    </xf>
    <xf numFmtId="0" fontId="6" fillId="14" borderId="0" xfId="0" applyFont="1" applyFill="1" applyAlignment="1">
      <alignment vertical="center"/>
    </xf>
    <xf numFmtId="0" fontId="6" fillId="0" borderId="15" xfId="0" applyFont="1" applyBorder="1" applyAlignment="1">
      <alignment vertical="center"/>
    </xf>
    <xf numFmtId="0" fontId="6" fillId="5" borderId="15" xfId="0" applyFont="1" applyFill="1" applyBorder="1" applyAlignment="1">
      <alignment vertical="center"/>
    </xf>
    <xf numFmtId="165" fontId="6" fillId="5" borderId="14" xfId="0" applyNumberFormat="1" applyFont="1" applyFill="1" applyBorder="1" applyAlignment="1">
      <alignment vertical="center"/>
    </xf>
    <xf numFmtId="166" fontId="6" fillId="5" borderId="14" xfId="0" applyNumberFormat="1" applyFont="1" applyFill="1" applyBorder="1" applyAlignment="1">
      <alignment vertical="center"/>
    </xf>
    <xf numFmtId="0" fontId="6" fillId="5" borderId="0" xfId="0" applyFont="1" applyFill="1" applyAlignment="1">
      <alignment vertical="center"/>
    </xf>
    <xf numFmtId="0" fontId="4" fillId="10" borderId="8" xfId="0" applyFont="1" applyFill="1" applyBorder="1" applyAlignment="1">
      <alignment vertical="center"/>
    </xf>
    <xf numFmtId="0" fontId="4" fillId="10" borderId="9" xfId="0" applyFont="1" applyFill="1" applyBorder="1" applyAlignment="1">
      <alignment vertical="center"/>
    </xf>
    <xf numFmtId="165" fontId="4" fillId="10" borderId="12" xfId="0" applyNumberFormat="1" applyFont="1" applyFill="1" applyBorder="1" applyAlignment="1">
      <alignment horizontal="right" vertical="center" wrapText="1"/>
    </xf>
    <xf numFmtId="0" fontId="6" fillId="0" borderId="0" xfId="0" applyFont="1" applyAlignment="1">
      <alignment horizontal="left" vertical="center"/>
    </xf>
    <xf numFmtId="3" fontId="6" fillId="0" borderId="0" xfId="0" applyNumberFormat="1" applyFont="1" applyAlignment="1">
      <alignment vertical="center" wrapText="1"/>
    </xf>
    <xf numFmtId="9" fontId="7" fillId="0" borderId="0" xfId="0" applyNumberFormat="1" applyFont="1" applyAlignment="1">
      <alignment vertical="center"/>
    </xf>
    <xf numFmtId="9" fontId="7" fillId="0" borderId="0" xfId="0" applyNumberFormat="1" applyFont="1" applyAlignment="1">
      <alignment vertical="center" wrapText="1"/>
    </xf>
    <xf numFmtId="9" fontId="7" fillId="0" borderId="0" xfId="0" applyNumberFormat="1" applyFont="1" applyAlignment="1">
      <alignment horizontal="center" vertical="center"/>
    </xf>
    <xf numFmtId="0" fontId="6" fillId="3" borderId="0" xfId="0" applyFont="1" applyFill="1" applyAlignment="1">
      <alignment horizontal="center" vertical="center" wrapText="1"/>
    </xf>
    <xf numFmtId="0" fontId="6" fillId="3" borderId="0" xfId="0" applyFont="1" applyFill="1" applyAlignment="1">
      <alignment vertical="center" wrapText="1"/>
    </xf>
    <xf numFmtId="164" fontId="7" fillId="0" borderId="10" xfId="0" applyNumberFormat="1" applyFont="1" applyBorder="1" applyAlignment="1">
      <alignment vertical="center"/>
    </xf>
    <xf numFmtId="165" fontId="7" fillId="0" borderId="11" xfId="0" applyNumberFormat="1" applyFont="1" applyBorder="1" applyAlignment="1">
      <alignment vertical="center"/>
    </xf>
    <xf numFmtId="0" fontId="6" fillId="11" borderId="10" xfId="0" applyFont="1" applyFill="1" applyBorder="1" applyAlignment="1">
      <alignment vertical="center"/>
    </xf>
    <xf numFmtId="164" fontId="7" fillId="11" borderId="10" xfId="0" applyNumberFormat="1" applyFont="1" applyFill="1" applyBorder="1" applyAlignment="1">
      <alignment vertical="center"/>
    </xf>
    <xf numFmtId="0" fontId="7" fillId="11" borderId="0" xfId="0" applyFont="1" applyFill="1" applyAlignment="1">
      <alignment vertical="center"/>
    </xf>
    <xf numFmtId="0" fontId="6" fillId="0" borderId="10" xfId="0" applyFont="1" applyBorder="1" applyAlignment="1">
      <alignment vertical="center"/>
    </xf>
    <xf numFmtId="3" fontId="7" fillId="0" borderId="10" xfId="0" applyNumberFormat="1" applyFont="1" applyBorder="1" applyAlignment="1">
      <alignment vertical="center"/>
    </xf>
    <xf numFmtId="3" fontId="7" fillId="0" borderId="0" xfId="0" applyNumberFormat="1" applyFont="1" applyAlignment="1">
      <alignment horizontal="center" vertical="center"/>
    </xf>
    <xf numFmtId="0" fontId="7" fillId="0" borderId="10" xfId="0" applyFont="1" applyBorder="1" applyAlignment="1">
      <alignment vertical="center"/>
    </xf>
    <xf numFmtId="49" fontId="6" fillId="0" borderId="10" xfId="0" applyNumberFormat="1" applyFont="1" applyBorder="1" applyAlignment="1">
      <alignment vertical="center"/>
    </xf>
    <xf numFmtId="49" fontId="7" fillId="0" borderId="10" xfId="0" applyNumberFormat="1" applyFont="1" applyBorder="1" applyAlignment="1">
      <alignment vertical="center"/>
    </xf>
    <xf numFmtId="49" fontId="6" fillId="12" borderId="10" xfId="0" applyNumberFormat="1" applyFont="1" applyFill="1" applyBorder="1" applyAlignment="1">
      <alignment vertical="center"/>
    </xf>
    <xf numFmtId="3" fontId="6" fillId="12" borderId="10" xfId="0" applyNumberFormat="1" applyFont="1" applyFill="1" applyBorder="1" applyAlignment="1">
      <alignment vertical="center"/>
    </xf>
    <xf numFmtId="0" fontId="6" fillId="12" borderId="10" xfId="0" applyFont="1" applyFill="1" applyBorder="1" applyAlignment="1">
      <alignment vertical="center"/>
    </xf>
    <xf numFmtId="0" fontId="6" fillId="12" borderId="0" xfId="0" applyFont="1" applyFill="1" applyAlignment="1">
      <alignment vertical="center"/>
    </xf>
    <xf numFmtId="0" fontId="11" fillId="0" borderId="10" xfId="0" applyFont="1" applyBorder="1" applyAlignment="1">
      <alignment vertical="center"/>
    </xf>
    <xf numFmtId="49" fontId="6" fillId="3" borderId="8" xfId="0" applyNumberFormat="1" applyFont="1" applyFill="1" applyBorder="1" applyAlignment="1">
      <alignment vertical="center"/>
    </xf>
    <xf numFmtId="3" fontId="6" fillId="3" borderId="8" xfId="0" applyNumberFormat="1" applyFont="1" applyFill="1" applyBorder="1" applyAlignment="1">
      <alignment vertical="center"/>
    </xf>
    <xf numFmtId="3" fontId="6" fillId="3" borderId="1" xfId="0" applyNumberFormat="1" applyFont="1" applyFill="1" applyBorder="1" applyAlignment="1">
      <alignment vertical="center"/>
    </xf>
    <xf numFmtId="3" fontId="6" fillId="3" borderId="1" xfId="0" applyNumberFormat="1" applyFont="1" applyFill="1" applyBorder="1" applyAlignment="1">
      <alignment horizontal="center" vertical="center"/>
    </xf>
    <xf numFmtId="9" fontId="6" fillId="3" borderId="1" xfId="0" applyNumberFormat="1" applyFont="1" applyFill="1" applyBorder="1" applyAlignment="1">
      <alignment horizontal="center" vertical="center"/>
    </xf>
    <xf numFmtId="0" fontId="6" fillId="3" borderId="8" xfId="0" applyFont="1" applyFill="1" applyBorder="1" applyAlignment="1">
      <alignment vertical="center"/>
    </xf>
    <xf numFmtId="0" fontId="6" fillId="3" borderId="1" xfId="0" applyFont="1" applyFill="1" applyBorder="1" applyAlignment="1">
      <alignment vertical="center"/>
    </xf>
    <xf numFmtId="0" fontId="6" fillId="3" borderId="0" xfId="0" applyFont="1" applyFill="1" applyAlignment="1">
      <alignment vertical="center"/>
    </xf>
    <xf numFmtId="0" fontId="17" fillId="0" borderId="0" xfId="0" applyFont="1" applyAlignment="1">
      <alignment vertical="center"/>
    </xf>
    <xf numFmtId="0" fontId="18" fillId="0" borderId="0" xfId="0" applyFont="1" applyAlignment="1">
      <alignment horizontal="center" vertical="center" wrapText="1"/>
    </xf>
    <xf numFmtId="0" fontId="18" fillId="0" borderId="0" xfId="0" applyFont="1" applyAlignment="1">
      <alignment vertical="center"/>
    </xf>
    <xf numFmtId="0" fontId="6" fillId="0" borderId="0" xfId="0" applyFont="1" applyAlignment="1">
      <alignment horizontal="right" vertical="center" wrapText="1"/>
    </xf>
    <xf numFmtId="3" fontId="7" fillId="0" borderId="0" xfId="0" applyNumberFormat="1" applyFont="1" applyAlignment="1">
      <alignment horizontal="right" vertical="center"/>
    </xf>
    <xf numFmtId="164" fontId="7" fillId="0" borderId="0" xfId="0" applyNumberFormat="1" applyFont="1" applyAlignment="1">
      <alignment horizontal="center" vertical="center"/>
    </xf>
    <xf numFmtId="165" fontId="7" fillId="0" borderId="1" xfId="0" applyNumberFormat="1" applyFont="1" applyBorder="1" applyAlignment="1">
      <alignment vertical="center"/>
    </xf>
    <xf numFmtId="3" fontId="7" fillId="0" borderId="1" xfId="0" applyNumberFormat="1" applyFont="1" applyBorder="1" applyAlignment="1">
      <alignment horizontal="right" vertical="center"/>
    </xf>
    <xf numFmtId="165" fontId="19" fillId="0" borderId="0" xfId="0" applyNumberFormat="1" applyFont="1" applyAlignment="1">
      <alignment vertical="center"/>
    </xf>
    <xf numFmtId="0" fontId="19" fillId="0" borderId="0" xfId="0" applyFont="1" applyAlignment="1">
      <alignment vertical="center"/>
    </xf>
    <xf numFmtId="165" fontId="7" fillId="0" borderId="0" xfId="0" applyNumberFormat="1" applyFont="1" applyAlignment="1">
      <alignment horizontal="right" vertical="center"/>
    </xf>
    <xf numFmtId="3" fontId="7" fillId="0" borderId="1" xfId="0" applyNumberFormat="1" applyFont="1" applyBorder="1" applyAlignment="1">
      <alignment vertical="center"/>
    </xf>
    <xf numFmtId="0" fontId="7" fillId="0" borderId="0" xfId="0" applyFont="1"/>
    <xf numFmtId="0" fontId="7"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165" fontId="0" fillId="0" borderId="0" xfId="0" applyNumberFormat="1" applyAlignment="1">
      <alignment horizontal="right" vertical="center"/>
    </xf>
    <xf numFmtId="9" fontId="0" fillId="0" borderId="0" xfId="0" applyNumberFormat="1" applyAlignment="1">
      <alignment horizontal="center" vertical="center"/>
    </xf>
    <xf numFmtId="9" fontId="0" fillId="0" borderId="0" xfId="0" applyNumberFormat="1" applyAlignment="1">
      <alignment horizontal="left" vertical="center"/>
    </xf>
    <xf numFmtId="4" fontId="0" fillId="0" borderId="0" xfId="0" applyNumberFormat="1" applyAlignment="1">
      <alignment horizontal="center" vertical="center"/>
    </xf>
    <xf numFmtId="165" fontId="0" fillId="0" borderId="1" xfId="0" applyNumberFormat="1" applyBorder="1" applyAlignment="1">
      <alignment horizontal="right" vertical="center"/>
    </xf>
    <xf numFmtId="4" fontId="1" fillId="0" borderId="0" xfId="0" applyNumberFormat="1" applyFont="1" applyAlignment="1">
      <alignment horizontal="center" vertical="center"/>
    </xf>
    <xf numFmtId="0" fontId="12" fillId="0" borderId="0" xfId="0" applyFont="1" applyAlignment="1">
      <alignment horizontal="left" vertical="center"/>
    </xf>
    <xf numFmtId="165" fontId="12" fillId="0" borderId="0" xfId="0" applyNumberFormat="1" applyFont="1" applyAlignment="1">
      <alignment horizontal="right" vertical="center"/>
    </xf>
    <xf numFmtId="0" fontId="1" fillId="0" borderId="0" xfId="0" applyFont="1" applyAlignment="1">
      <alignment horizontal="right" vertical="center" wrapText="1"/>
    </xf>
    <xf numFmtId="0" fontId="0" fillId="0" borderId="0" xfId="0" applyAlignment="1">
      <alignment horizontal="center" vertical="center"/>
    </xf>
    <xf numFmtId="164" fontId="0" fillId="0" borderId="0" xfId="0" applyNumberFormat="1" applyAlignment="1">
      <alignment horizontal="left" vertical="center"/>
    </xf>
    <xf numFmtId="164" fontId="12" fillId="0" borderId="0" xfId="0" applyNumberFormat="1" applyFont="1" applyAlignment="1">
      <alignment vertical="center"/>
    </xf>
    <xf numFmtId="0" fontId="20" fillId="0" borderId="0" xfId="0" applyFont="1" applyAlignment="1">
      <alignment vertical="center"/>
    </xf>
    <xf numFmtId="0" fontId="21" fillId="0" borderId="0" xfId="0" applyFont="1" applyAlignment="1">
      <alignment vertic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3" fontId="5" fillId="0" borderId="10" xfId="0" applyNumberFormat="1" applyFont="1" applyBorder="1" applyAlignment="1">
      <alignment vertical="center"/>
    </xf>
    <xf numFmtId="3" fontId="5" fillId="0" borderId="0" xfId="0" applyNumberFormat="1" applyFont="1" applyAlignment="1">
      <alignment vertical="center"/>
    </xf>
    <xf numFmtId="3" fontId="5" fillId="0" borderId="8" xfId="0" applyNumberFormat="1" applyFont="1" applyBorder="1" applyAlignment="1">
      <alignment vertical="center"/>
    </xf>
    <xf numFmtId="9" fontId="5" fillId="0" borderId="0" xfId="0" applyNumberFormat="1" applyFont="1" applyAlignment="1">
      <alignment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left" vertical="center" wrapText="1"/>
    </xf>
    <xf numFmtId="9" fontId="6" fillId="3" borderId="0" xfId="0" applyNumberFormat="1" applyFont="1" applyFill="1" applyAlignment="1">
      <alignmen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164" fontId="7" fillId="0" borderId="11" xfId="0" applyNumberFormat="1" applyFont="1" applyBorder="1" applyAlignment="1">
      <alignment horizontal="right" vertical="center" wrapText="1"/>
    </xf>
    <xf numFmtId="0" fontId="7" fillId="0" borderId="10" xfId="0" applyFont="1" applyBorder="1" applyAlignment="1">
      <alignment horizontal="center" vertical="center" wrapText="1"/>
    </xf>
    <xf numFmtId="3" fontId="7" fillId="0" borderId="0" xfId="0" applyNumberFormat="1" applyFont="1" applyAlignment="1">
      <alignment horizontal="center" vertical="center" wrapText="1"/>
    </xf>
    <xf numFmtId="0" fontId="7" fillId="0" borderId="0" xfId="0" applyFont="1" applyAlignment="1">
      <alignment horizontal="center" vertical="center" wrapText="1"/>
    </xf>
    <xf numFmtId="3" fontId="7" fillId="0" borderId="0" xfId="0" applyNumberFormat="1" applyFont="1" applyAlignment="1">
      <alignment horizontal="right" vertical="center" wrapText="1"/>
    </xf>
    <xf numFmtId="165" fontId="7" fillId="0" borderId="11" xfId="0" applyNumberFormat="1" applyFont="1" applyBorder="1" applyAlignment="1">
      <alignment horizontal="right" vertical="center" wrapText="1"/>
    </xf>
    <xf numFmtId="164" fontId="7" fillId="0" borderId="11" xfId="0" applyNumberFormat="1" applyFont="1" applyBorder="1" applyAlignment="1">
      <alignment horizontal="right" vertical="center"/>
    </xf>
    <xf numFmtId="164" fontId="7" fillId="11" borderId="11" xfId="0" applyNumberFormat="1" applyFont="1" applyFill="1" applyBorder="1" applyAlignment="1">
      <alignment vertical="center"/>
    </xf>
    <xf numFmtId="164" fontId="7" fillId="11" borderId="8" xfId="0" applyNumberFormat="1" applyFont="1" applyFill="1" applyBorder="1" applyAlignment="1">
      <alignment vertical="center"/>
    </xf>
    <xf numFmtId="164" fontId="6" fillId="11" borderId="9" xfId="0" applyNumberFormat="1" applyFont="1" applyFill="1" applyBorder="1" applyAlignment="1">
      <alignment horizontal="right" vertical="center"/>
    </xf>
    <xf numFmtId="164" fontId="7" fillId="11" borderId="0" xfId="0" applyNumberFormat="1" applyFont="1" applyFill="1" applyAlignment="1">
      <alignment vertical="center"/>
    </xf>
    <xf numFmtId="165" fontId="6" fillId="11" borderId="9" xfId="0" applyNumberFormat="1" applyFont="1" applyFill="1" applyBorder="1" applyAlignment="1">
      <alignment horizontal="right" vertical="center"/>
    </xf>
    <xf numFmtId="3" fontId="7" fillId="11" borderId="0" xfId="0" applyNumberFormat="1" applyFont="1" applyFill="1" applyAlignment="1">
      <alignment vertical="center"/>
    </xf>
    <xf numFmtId="9" fontId="7" fillId="11" borderId="0" xfId="0" applyNumberFormat="1" applyFont="1" applyFill="1" applyAlignment="1">
      <alignment vertical="center"/>
    </xf>
    <xf numFmtId="164" fontId="7" fillId="0" borderId="11" xfId="0" applyNumberFormat="1" applyFont="1" applyBorder="1" applyAlignment="1">
      <alignment vertical="center"/>
    </xf>
    <xf numFmtId="164" fontId="6" fillId="0" borderId="11" xfId="0" applyNumberFormat="1" applyFont="1" applyBorder="1" applyAlignment="1">
      <alignment horizontal="right" vertical="center"/>
    </xf>
    <xf numFmtId="165" fontId="6" fillId="0" borderId="11" xfId="0" applyNumberFormat="1" applyFont="1" applyBorder="1" applyAlignment="1">
      <alignment horizontal="right" vertical="center"/>
    </xf>
    <xf numFmtId="165" fontId="6" fillId="0" borderId="0" xfId="0" applyNumberFormat="1" applyFont="1" applyAlignment="1">
      <alignment horizontal="right" vertical="center"/>
    </xf>
    <xf numFmtId="49" fontId="6" fillId="10" borderId="10" xfId="0" applyNumberFormat="1" applyFont="1" applyFill="1" applyBorder="1" applyAlignment="1">
      <alignment vertical="center"/>
    </xf>
    <xf numFmtId="164" fontId="7" fillId="10" borderId="11" xfId="0" applyNumberFormat="1" applyFont="1" applyFill="1" applyBorder="1" applyAlignment="1">
      <alignment vertical="center"/>
    </xf>
    <xf numFmtId="164" fontId="7" fillId="10" borderId="10" xfId="0" applyNumberFormat="1" applyFont="1" applyFill="1" applyBorder="1" applyAlignment="1">
      <alignment vertical="center"/>
    </xf>
    <xf numFmtId="164" fontId="7" fillId="10" borderId="0" xfId="0" applyNumberFormat="1" applyFont="1" applyFill="1" applyAlignment="1">
      <alignment horizontal="right" vertical="center"/>
    </xf>
    <xf numFmtId="164" fontId="7" fillId="10" borderId="0" xfId="0" applyNumberFormat="1" applyFont="1" applyFill="1" applyAlignment="1">
      <alignment vertical="center"/>
    </xf>
    <xf numFmtId="3" fontId="6" fillId="10" borderId="0" xfId="0" applyNumberFormat="1" applyFont="1" applyFill="1" applyAlignment="1">
      <alignment horizontal="center" vertical="center" wrapText="1"/>
    </xf>
    <xf numFmtId="0" fontId="7" fillId="10" borderId="0" xfId="0" applyFont="1" applyFill="1" applyAlignment="1">
      <alignment vertical="center"/>
    </xf>
    <xf numFmtId="9" fontId="7" fillId="10" borderId="0" xfId="0" applyNumberFormat="1" applyFont="1" applyFill="1" applyAlignment="1">
      <alignment vertical="center"/>
    </xf>
    <xf numFmtId="164" fontId="6" fillId="10" borderId="11" xfId="0" applyNumberFormat="1" applyFont="1" applyFill="1" applyBorder="1" applyAlignment="1">
      <alignment vertical="center"/>
    </xf>
    <xf numFmtId="164" fontId="6" fillId="10" borderId="10" xfId="0" applyNumberFormat="1" applyFont="1" applyFill="1" applyBorder="1" applyAlignment="1">
      <alignment vertical="center"/>
    </xf>
    <xf numFmtId="3" fontId="7" fillId="10" borderId="0" xfId="0" applyNumberFormat="1" applyFont="1" applyFill="1" applyAlignment="1">
      <alignment horizontal="center" vertical="center" wrapText="1"/>
    </xf>
    <xf numFmtId="164" fontId="6" fillId="10" borderId="0" xfId="0" applyNumberFormat="1" applyFont="1" applyFill="1" applyAlignment="1">
      <alignment horizontal="right" vertical="center"/>
    </xf>
    <xf numFmtId="164" fontId="6" fillId="10" borderId="0" xfId="0" applyNumberFormat="1" applyFont="1" applyFill="1" applyAlignment="1">
      <alignment vertical="center"/>
    </xf>
    <xf numFmtId="165" fontId="6" fillId="10" borderId="11" xfId="0" applyNumberFormat="1" applyFont="1" applyFill="1" applyBorder="1" applyAlignment="1">
      <alignment vertical="center"/>
    </xf>
    <xf numFmtId="165" fontId="6" fillId="10" borderId="0" xfId="0" applyNumberFormat="1" applyFont="1" applyFill="1" applyAlignment="1">
      <alignment vertical="center"/>
    </xf>
    <xf numFmtId="0" fontId="6" fillId="10" borderId="0" xfId="0" applyFont="1" applyFill="1" applyAlignment="1">
      <alignment vertical="center"/>
    </xf>
    <xf numFmtId="9" fontId="6" fillId="10" borderId="0" xfId="0" applyNumberFormat="1" applyFont="1" applyFill="1" applyAlignment="1">
      <alignment vertical="center"/>
    </xf>
    <xf numFmtId="164" fontId="7" fillId="0" borderId="0" xfId="0" applyNumberFormat="1" applyFont="1" applyAlignment="1">
      <alignment horizontal="right" vertical="center"/>
    </xf>
    <xf numFmtId="3" fontId="6" fillId="0" borderId="0" xfId="0" applyNumberFormat="1" applyFont="1" applyAlignment="1">
      <alignment vertical="center"/>
    </xf>
    <xf numFmtId="0" fontId="6" fillId="0" borderId="0" xfId="0" applyFont="1" applyAlignment="1">
      <alignment horizontal="right" vertical="center"/>
    </xf>
    <xf numFmtId="0" fontId="14" fillId="0" borderId="15" xfId="0" applyFont="1" applyBorder="1" applyAlignment="1">
      <alignment horizontal="left" vertical="center"/>
    </xf>
    <xf numFmtId="0" fontId="4" fillId="0" borderId="6" xfId="0" applyFont="1" applyBorder="1" applyAlignment="1">
      <alignment horizontal="left" vertical="center" wrapText="1"/>
    </xf>
    <xf numFmtId="0" fontId="3" fillId="0" borderId="0" xfId="0" applyFont="1" applyAlignment="1">
      <alignment horizontal="left" vertical="center"/>
    </xf>
    <xf numFmtId="0" fontId="6" fillId="11"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11" borderId="7"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0" xfId="0" applyFont="1" applyFill="1" applyAlignment="1">
      <alignment vertical="center" wrapText="1"/>
    </xf>
    <xf numFmtId="164" fontId="7" fillId="0" borderId="13" xfId="0" applyNumberFormat="1" applyFont="1" applyBorder="1" applyAlignment="1">
      <alignment horizontal="right" vertical="center" wrapText="1"/>
    </xf>
    <xf numFmtId="0" fontId="7" fillId="0" borderId="13" xfId="0" applyFont="1" applyBorder="1" applyAlignment="1">
      <alignment horizontal="center" vertical="center" wrapText="1"/>
    </xf>
    <xf numFmtId="0" fontId="7" fillId="0" borderId="11" xfId="0" applyFont="1" applyBorder="1" applyAlignment="1">
      <alignment vertical="center"/>
    </xf>
    <xf numFmtId="0" fontId="6" fillId="0" borderId="8" xfId="0" applyFont="1" applyBorder="1" applyAlignment="1">
      <alignment vertical="center"/>
    </xf>
    <xf numFmtId="164" fontId="6" fillId="13" borderId="8" xfId="0" applyNumberFormat="1" applyFont="1" applyFill="1" applyBorder="1" applyAlignment="1">
      <alignment horizontal="right" vertical="center"/>
    </xf>
    <xf numFmtId="164" fontId="6" fillId="0" borderId="8" xfId="0" applyNumberFormat="1" applyFont="1" applyBorder="1" applyAlignment="1">
      <alignment horizontal="right" vertical="center"/>
    </xf>
    <xf numFmtId="164" fontId="6" fillId="13" borderId="1" xfId="0" applyNumberFormat="1" applyFont="1" applyFill="1" applyBorder="1" applyAlignment="1">
      <alignment horizontal="right" vertical="center"/>
    </xf>
    <xf numFmtId="0" fontId="6" fillId="13" borderId="0" xfId="0" applyFont="1" applyFill="1" applyAlignment="1">
      <alignment vertical="center"/>
    </xf>
    <xf numFmtId="0" fontId="6" fillId="0" borderId="7" xfId="0" applyFont="1" applyBorder="1" applyAlignment="1">
      <alignment vertical="center"/>
    </xf>
    <xf numFmtId="164" fontId="6" fillId="0" borderId="0" xfId="0" applyNumberFormat="1" applyFont="1" applyAlignment="1">
      <alignment horizontal="right" vertical="center"/>
    </xf>
    <xf numFmtId="164" fontId="6" fillId="0" borderId="7" xfId="0" applyNumberFormat="1" applyFont="1" applyBorder="1" applyAlignment="1">
      <alignment vertical="center"/>
    </xf>
    <xf numFmtId="164" fontId="6" fillId="0" borderId="5" xfId="0" applyNumberFormat="1" applyFont="1" applyBorder="1" applyAlignment="1">
      <alignment vertical="center"/>
    </xf>
    <xf numFmtId="0" fontId="7" fillId="0" borderId="13" xfId="0" applyFont="1" applyBorder="1" applyAlignment="1">
      <alignment horizontal="left" vertical="center" wrapText="1"/>
    </xf>
    <xf numFmtId="0" fontId="7" fillId="0" borderId="13" xfId="0" applyFont="1" applyBorder="1" applyAlignment="1">
      <alignment vertical="center"/>
    </xf>
    <xf numFmtId="164" fontId="6" fillId="0" borderId="13" xfId="0" applyNumberFormat="1" applyFont="1" applyBorder="1" applyAlignment="1">
      <alignment vertical="center"/>
    </xf>
    <xf numFmtId="164" fontId="6" fillId="0" borderId="0" xfId="0" applyNumberFormat="1" applyFont="1" applyAlignment="1">
      <alignment vertical="center"/>
    </xf>
    <xf numFmtId="164" fontId="7" fillId="0" borderId="12" xfId="0" applyNumberFormat="1" applyFont="1" applyBorder="1" applyAlignment="1">
      <alignment vertical="center"/>
    </xf>
    <xf numFmtId="0" fontId="6" fillId="0" borderId="12" xfId="0" applyFont="1" applyBorder="1" applyAlignment="1">
      <alignment vertical="center"/>
    </xf>
    <xf numFmtId="164" fontId="6" fillId="0" borderId="12" xfId="0" applyNumberFormat="1" applyFont="1" applyBorder="1" applyAlignment="1">
      <alignment vertical="center"/>
    </xf>
    <xf numFmtId="164" fontId="6" fillId="0" borderId="1" xfId="0" applyNumberFormat="1" applyFont="1" applyBorder="1" applyAlignment="1">
      <alignment vertical="center"/>
    </xf>
    <xf numFmtId="0" fontId="6" fillId="0" borderId="13" xfId="0" applyFont="1" applyBorder="1" applyAlignment="1">
      <alignment vertical="center"/>
    </xf>
    <xf numFmtId="0" fontId="6" fillId="0" borderId="5" xfId="0" applyFont="1" applyBorder="1" applyAlignment="1">
      <alignment vertical="center"/>
    </xf>
    <xf numFmtId="164" fontId="6" fillId="0" borderId="12" xfId="0" applyNumberFormat="1" applyFont="1" applyBorder="1" applyAlignment="1">
      <alignment horizontal="right" vertical="center"/>
    </xf>
    <xf numFmtId="0" fontId="6" fillId="0" borderId="1" xfId="0" applyFont="1" applyBorder="1" applyAlignment="1">
      <alignment vertical="center"/>
    </xf>
    <xf numFmtId="0" fontId="6" fillId="11" borderId="14" xfId="0" applyFont="1" applyFill="1" applyBorder="1" applyAlignment="1">
      <alignment horizontal="left" vertical="center" wrapText="1"/>
    </xf>
    <xf numFmtId="164" fontId="6" fillId="11" borderId="12" xfId="0" applyNumberFormat="1" applyFont="1" applyFill="1" applyBorder="1" applyAlignment="1">
      <alignment vertical="center"/>
    </xf>
    <xf numFmtId="164" fontId="6" fillId="11" borderId="0" xfId="0" applyNumberFormat="1" applyFont="1" applyFill="1" applyAlignment="1">
      <alignment vertical="center"/>
    </xf>
    <xf numFmtId="0" fontId="6" fillId="11" borderId="0" xfId="0" applyFont="1" applyFill="1" applyAlignment="1">
      <alignment vertical="center"/>
    </xf>
    <xf numFmtId="0" fontId="6" fillId="13" borderId="12" xfId="0" applyFont="1" applyFill="1" applyBorder="1" applyAlignment="1">
      <alignment vertical="center"/>
    </xf>
    <xf numFmtId="0" fontId="8" fillId="0" borderId="13" xfId="0" applyFont="1" applyBorder="1" applyAlignment="1">
      <alignment vertical="center"/>
    </xf>
    <xf numFmtId="165" fontId="4" fillId="0" borderId="13" xfId="0" applyNumberFormat="1" applyFont="1" applyBorder="1" applyAlignment="1">
      <alignment vertical="center"/>
    </xf>
    <xf numFmtId="0" fontId="7" fillId="0" borderId="12" xfId="0" applyFont="1" applyBorder="1" applyAlignment="1">
      <alignment vertical="center"/>
    </xf>
    <xf numFmtId="0" fontId="4" fillId="0" borderId="7" xfId="0" applyFont="1" applyBorder="1" applyAlignment="1">
      <alignment horizontal="right" vertical="center" wrapText="1"/>
    </xf>
    <xf numFmtId="0" fontId="5" fillId="0" borderId="13" xfId="0" applyFont="1" applyBorder="1" applyAlignment="1">
      <alignment horizontal="right" vertical="center"/>
    </xf>
    <xf numFmtId="165" fontId="1" fillId="0" borderId="12" xfId="0" applyNumberFormat="1" applyFont="1" applyBorder="1" applyAlignment="1">
      <alignment horizontal="right" vertical="center"/>
    </xf>
    <xf numFmtId="3" fontId="1" fillId="0" borderId="13" xfId="0" applyNumberFormat="1" applyFont="1" applyBorder="1" applyAlignment="1">
      <alignment horizontal="right" vertical="center"/>
    </xf>
    <xf numFmtId="165" fontId="4" fillId="0" borderId="12" xfId="0" applyNumberFormat="1" applyFont="1" applyBorder="1" applyAlignment="1">
      <alignment horizontal="right" vertical="center" wrapText="1"/>
    </xf>
    <xf numFmtId="165" fontId="1" fillId="0" borderId="14" xfId="0" applyNumberFormat="1" applyFont="1" applyBorder="1" applyAlignment="1">
      <alignment horizontal="right" vertical="center"/>
    </xf>
    <xf numFmtId="0" fontId="0" fillId="0" borderId="13" xfId="0" applyBorder="1" applyAlignment="1">
      <alignment horizontal="right" vertical="center"/>
    </xf>
    <xf numFmtId="3" fontId="1" fillId="0" borderId="9" xfId="0" applyNumberFormat="1" applyFont="1" applyBorder="1" applyAlignment="1">
      <alignment vertical="center"/>
    </xf>
    <xf numFmtId="0" fontId="1" fillId="0" borderId="15" xfId="0" applyFont="1" applyBorder="1" applyAlignment="1">
      <alignment vertical="center"/>
    </xf>
    <xf numFmtId="165" fontId="6" fillId="0" borderId="14" xfId="0" applyNumberFormat="1" applyFont="1" applyBorder="1" applyAlignment="1">
      <alignment vertical="center"/>
    </xf>
    <xf numFmtId="165" fontId="6" fillId="0" borderId="3" xfId="0" applyNumberFormat="1" applyFont="1" applyBorder="1" applyAlignment="1">
      <alignment vertical="center"/>
    </xf>
    <xf numFmtId="0" fontId="10" fillId="0" borderId="15" xfId="0" applyFont="1" applyBorder="1" applyAlignment="1">
      <alignment horizontal="center" vertical="center"/>
    </xf>
    <xf numFmtId="165" fontId="6" fillId="0" borderId="0" xfId="0" applyNumberFormat="1" applyFont="1" applyAlignment="1">
      <alignment vertical="center"/>
    </xf>
    <xf numFmtId="0" fontId="6" fillId="0" borderId="15" xfId="0" applyFont="1" applyBorder="1" applyAlignment="1">
      <alignment horizontal="center" vertical="center"/>
    </xf>
    <xf numFmtId="165" fontId="7" fillId="0" borderId="15" xfId="0" applyNumberFormat="1" applyFont="1" applyBorder="1" applyAlignment="1">
      <alignment vertical="center"/>
    </xf>
    <xf numFmtId="165" fontId="6" fillId="4" borderId="14" xfId="0" applyNumberFormat="1" applyFont="1" applyFill="1" applyBorder="1" applyAlignment="1">
      <alignment vertical="center"/>
    </xf>
    <xf numFmtId="0" fontId="10" fillId="0" borderId="3" xfId="0" applyFont="1" applyBorder="1" applyAlignment="1">
      <alignment horizontal="center" vertical="center"/>
    </xf>
    <xf numFmtId="165" fontId="16" fillId="0" borderId="3" xfId="0" applyNumberFormat="1" applyFont="1" applyBorder="1" applyAlignment="1">
      <alignment horizontal="right" vertical="center"/>
    </xf>
    <xf numFmtId="165" fontId="7" fillId="0" borderId="3" xfId="0" applyNumberFormat="1" applyFont="1" applyBorder="1" applyAlignment="1">
      <alignment horizontal="right" vertical="center"/>
    </xf>
    <xf numFmtId="0" fontId="19" fillId="0" borderId="0" xfId="0" applyFont="1" applyAlignment="1">
      <alignment horizontal="center" vertical="center"/>
    </xf>
    <xf numFmtId="164" fontId="20" fillId="0" borderId="0" xfId="0" applyNumberFormat="1" applyFont="1" applyAlignment="1">
      <alignment vertical="center"/>
    </xf>
    <xf numFmtId="0" fontId="17" fillId="0" borderId="0" xfId="0" applyFont="1" applyAlignment="1">
      <alignment horizontal="left" vertical="center"/>
    </xf>
    <xf numFmtId="0" fontId="17" fillId="0" borderId="0" xfId="0" applyFont="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7" fillId="0" borderId="0" xfId="0" applyFont="1" applyAlignment="1">
      <alignment horizontal="center" vertical="center" wrapText="1"/>
    </xf>
    <xf numFmtId="0" fontId="16" fillId="0" borderId="0" xfId="0" applyFont="1" applyAlignment="1">
      <alignment vertical="center"/>
    </xf>
    <xf numFmtId="0" fontId="6" fillId="0" borderId="2" xfId="0" applyFont="1" applyBorder="1" applyAlignment="1">
      <alignment vertical="center" wrapText="1"/>
    </xf>
    <xf numFmtId="0" fontId="19" fillId="0" borderId="3" xfId="0" applyFont="1" applyBorder="1" applyAlignment="1">
      <alignment vertical="center" wrapText="1"/>
    </xf>
    <xf numFmtId="0" fontId="6" fillId="0" borderId="3" xfId="0" applyFont="1" applyBorder="1" applyAlignment="1">
      <alignment vertical="center" wrapText="1"/>
    </xf>
    <xf numFmtId="0" fontId="6" fillId="0" borderId="15" xfId="0" applyFont="1" applyBorder="1" applyAlignment="1">
      <alignment horizontal="right" vertical="center"/>
    </xf>
    <xf numFmtId="0" fontId="7" fillId="0" borderId="4" xfId="0" applyFont="1" applyBorder="1" applyAlignment="1">
      <alignment vertical="center"/>
    </xf>
    <xf numFmtId="0" fontId="16" fillId="0" borderId="10" xfId="0" applyFont="1" applyBorder="1" applyAlignment="1">
      <alignment vertical="center"/>
    </xf>
    <xf numFmtId="165" fontId="7" fillId="0" borderId="13" xfId="0" applyNumberFormat="1" applyFont="1" applyBorder="1" applyAlignment="1">
      <alignment horizontal="right" vertical="center"/>
    </xf>
    <xf numFmtId="0" fontId="19" fillId="0" borderId="8" xfId="0" applyFont="1" applyBorder="1" applyAlignment="1">
      <alignment vertical="center"/>
    </xf>
    <xf numFmtId="165" fontId="6" fillId="0" borderId="12" xfId="0" applyNumberFormat="1" applyFont="1" applyBorder="1" applyAlignment="1">
      <alignment horizontal="right" vertical="center"/>
    </xf>
    <xf numFmtId="0" fontId="16" fillId="0" borderId="11" xfId="0" applyFont="1" applyBorder="1" applyAlignment="1">
      <alignment vertical="center"/>
    </xf>
    <xf numFmtId="165" fontId="7" fillId="0" borderId="6" xfId="0" applyNumberFormat="1" applyFont="1" applyBorder="1" applyAlignment="1">
      <alignment horizontal="right" vertical="center"/>
    </xf>
    <xf numFmtId="165" fontId="7" fillId="0" borderId="5" xfId="0" applyNumberFormat="1" applyFont="1" applyBorder="1" applyAlignment="1">
      <alignment horizontal="right" vertical="center"/>
    </xf>
    <xf numFmtId="0" fontId="7" fillId="0" borderId="6" xfId="0" applyFont="1" applyBorder="1" applyAlignment="1">
      <alignment vertical="center"/>
    </xf>
    <xf numFmtId="0" fontId="6" fillId="4" borderId="14" xfId="0" applyFont="1" applyFill="1" applyBorder="1" applyAlignment="1">
      <alignment vertical="center"/>
    </xf>
    <xf numFmtId="0" fontId="19" fillId="0" borderId="15" xfId="0" applyFont="1" applyBorder="1" applyAlignment="1">
      <alignment vertical="center"/>
    </xf>
    <xf numFmtId="165" fontId="6" fillId="4" borderId="15" xfId="0" applyNumberFormat="1" applyFont="1" applyFill="1" applyBorder="1" applyAlignment="1">
      <alignment horizontal="right" vertical="center"/>
    </xf>
    <xf numFmtId="165" fontId="6" fillId="4" borderId="3" xfId="0" applyNumberFormat="1" applyFont="1" applyFill="1" applyBorder="1" applyAlignment="1">
      <alignment horizontal="right" vertical="center"/>
    </xf>
    <xf numFmtId="165" fontId="6" fillId="4" borderId="14" xfId="0" applyNumberFormat="1" applyFont="1" applyFill="1" applyBorder="1" applyAlignment="1">
      <alignment horizontal="right" vertical="center"/>
    </xf>
    <xf numFmtId="164" fontId="6" fillId="0" borderId="14" xfId="0" applyNumberFormat="1" applyFont="1" applyBorder="1" applyAlignment="1">
      <alignment horizontal="right" vertical="center"/>
    </xf>
    <xf numFmtId="0" fontId="7" fillId="0" borderId="7" xfId="0" applyFont="1" applyBorder="1" applyAlignment="1">
      <alignment vertical="center"/>
    </xf>
    <xf numFmtId="0" fontId="16" fillId="0" borderId="3" xfId="0" applyFont="1" applyBorder="1" applyAlignment="1">
      <alignment vertical="center"/>
    </xf>
    <xf numFmtId="0" fontId="6" fillId="11" borderId="15" xfId="0" applyFont="1" applyFill="1" applyBorder="1" applyAlignment="1">
      <alignment vertical="center"/>
    </xf>
    <xf numFmtId="165" fontId="19" fillId="0" borderId="14" xfId="0" applyNumberFormat="1" applyFont="1" applyBorder="1" applyAlignment="1">
      <alignment horizontal="right" vertical="center"/>
    </xf>
    <xf numFmtId="165" fontId="6" fillId="11" borderId="14" xfId="0" applyNumberFormat="1" applyFont="1" applyFill="1" applyBorder="1" applyAlignment="1">
      <alignment horizontal="right" vertical="center"/>
    </xf>
    <xf numFmtId="10" fontId="7" fillId="11" borderId="14" xfId="0" applyNumberFormat="1" applyFont="1" applyFill="1" applyBorder="1" applyAlignment="1">
      <alignment horizontal="right" vertical="center"/>
    </xf>
    <xf numFmtId="0" fontId="6" fillId="0" borderId="3" xfId="0" applyFont="1" applyBorder="1" applyAlignment="1">
      <alignment vertical="center"/>
    </xf>
    <xf numFmtId="0" fontId="19" fillId="0" borderId="3" xfId="0" applyFont="1" applyBorder="1" applyAlignment="1">
      <alignment horizontal="center" vertical="center"/>
    </xf>
    <xf numFmtId="164" fontId="6" fillId="0" borderId="2" xfId="0" applyNumberFormat="1" applyFont="1" applyBorder="1" applyAlignment="1">
      <alignment horizontal="right" vertical="center"/>
    </xf>
    <xf numFmtId="164" fontId="6" fillId="0" borderId="3" xfId="0" applyNumberFormat="1" applyFont="1" applyBorder="1" applyAlignment="1">
      <alignment horizontal="right" vertical="center"/>
    </xf>
    <xf numFmtId="0" fontId="7" fillId="0" borderId="15" xfId="0" applyFont="1" applyBorder="1" applyAlignment="1">
      <alignment vertical="center"/>
    </xf>
    <xf numFmtId="165" fontId="16" fillId="0" borderId="7" xfId="0" applyNumberFormat="1" applyFont="1" applyBorder="1" applyAlignment="1">
      <alignment horizontal="right" vertical="center"/>
    </xf>
    <xf numFmtId="0" fontId="6" fillId="0" borderId="7" xfId="0" applyFont="1" applyBorder="1" applyAlignment="1">
      <alignment horizontal="right" vertical="center"/>
    </xf>
    <xf numFmtId="0" fontId="16" fillId="0" borderId="4" xfId="0" applyFont="1" applyBorder="1" applyAlignment="1">
      <alignment vertical="center"/>
    </xf>
    <xf numFmtId="165" fontId="7" fillId="0" borderId="7" xfId="0" applyNumberFormat="1" applyFont="1" applyBorder="1" applyAlignment="1">
      <alignment horizontal="right" vertical="center"/>
    </xf>
    <xf numFmtId="165" fontId="7" fillId="0" borderId="13" xfId="0" applyNumberFormat="1" applyFont="1" applyBorder="1" applyAlignment="1">
      <alignment vertical="center"/>
    </xf>
    <xf numFmtId="0" fontId="6" fillId="0" borderId="2" xfId="0" applyFont="1" applyBorder="1" applyAlignment="1">
      <alignment vertical="center"/>
    </xf>
    <xf numFmtId="165" fontId="19" fillId="0" borderId="2" xfId="0" applyNumberFormat="1" applyFont="1" applyBorder="1" applyAlignment="1">
      <alignment vertical="center"/>
    </xf>
    <xf numFmtId="165" fontId="6" fillId="0" borderId="2" xfId="0" applyNumberFormat="1" applyFont="1" applyBorder="1" applyAlignment="1">
      <alignment horizontal="right" vertical="center"/>
    </xf>
    <xf numFmtId="165" fontId="6" fillId="0" borderId="1" xfId="0" applyNumberFormat="1" applyFont="1" applyBorder="1" applyAlignment="1">
      <alignment horizontal="right" vertical="center"/>
    </xf>
    <xf numFmtId="0" fontId="16" fillId="0" borderId="15" xfId="0" applyFont="1" applyBorder="1" applyAlignment="1">
      <alignment vertical="center"/>
    </xf>
    <xf numFmtId="164" fontId="7" fillId="0" borderId="14" xfId="0" applyNumberFormat="1" applyFont="1" applyBorder="1" applyAlignment="1">
      <alignment horizontal="right" vertical="center"/>
    </xf>
    <xf numFmtId="165" fontId="19" fillId="0" borderId="15" xfId="0" applyNumberFormat="1" applyFont="1" applyBorder="1" applyAlignment="1">
      <alignment vertical="center"/>
    </xf>
    <xf numFmtId="165" fontId="6" fillId="5" borderId="14" xfId="0" applyNumberFormat="1" applyFont="1" applyFill="1" applyBorder="1" applyAlignment="1">
      <alignment horizontal="right" vertical="center"/>
    </xf>
    <xf numFmtId="10" fontId="7" fillId="5" borderId="14" xfId="0" applyNumberFormat="1" applyFont="1" applyFill="1" applyBorder="1" applyAlignment="1">
      <alignment horizontal="right" vertical="center"/>
    </xf>
    <xf numFmtId="165" fontId="7" fillId="0" borderId="11" xfId="0" applyNumberFormat="1" applyFont="1" applyBorder="1" applyAlignment="1">
      <alignment horizontal="right" vertical="center"/>
    </xf>
    <xf numFmtId="165" fontId="6" fillId="0" borderId="9" xfId="0" applyNumberFormat="1" applyFont="1" applyBorder="1" applyAlignment="1">
      <alignment horizontal="right" vertical="center"/>
    </xf>
    <xf numFmtId="165" fontId="16" fillId="0" borderId="6" xfId="0" applyNumberFormat="1" applyFont="1" applyBorder="1" applyAlignment="1">
      <alignment horizontal="right" vertical="center"/>
    </xf>
    <xf numFmtId="0" fontId="6" fillId="0" borderId="14" xfId="0" applyFont="1" applyBorder="1" applyAlignment="1">
      <alignment vertical="center"/>
    </xf>
    <xf numFmtId="0" fontId="19" fillId="0" borderId="3" xfId="0" applyFont="1" applyBorder="1" applyAlignment="1">
      <alignment vertical="center"/>
    </xf>
    <xf numFmtId="164" fontId="7" fillId="0" borderId="3" xfId="0" applyNumberFormat="1" applyFont="1" applyBorder="1" applyAlignment="1">
      <alignment horizontal="right" vertical="center"/>
    </xf>
    <xf numFmtId="0" fontId="6" fillId="16" borderId="15" xfId="0" applyFont="1" applyFill="1" applyBorder="1" applyAlignment="1">
      <alignment vertical="center"/>
    </xf>
    <xf numFmtId="165" fontId="6" fillId="16" borderId="14" xfId="0" applyNumberFormat="1" applyFont="1" applyFill="1" applyBorder="1" applyAlignment="1">
      <alignment horizontal="right" vertical="center"/>
    </xf>
    <xf numFmtId="10" fontId="7" fillId="16" borderId="14" xfId="0" applyNumberFormat="1" applyFont="1" applyFill="1" applyBorder="1" applyAlignment="1">
      <alignment horizontal="right" vertical="center"/>
    </xf>
    <xf numFmtId="0" fontId="6" fillId="0" borderId="9" xfId="0" applyFont="1" applyBorder="1" applyAlignment="1">
      <alignment vertical="center"/>
    </xf>
    <xf numFmtId="0" fontId="17" fillId="15" borderId="9" xfId="0" applyFont="1" applyFill="1" applyBorder="1" applyAlignment="1">
      <alignment vertical="center"/>
    </xf>
    <xf numFmtId="0" fontId="17" fillId="0" borderId="9" xfId="0" applyFont="1" applyBorder="1" applyAlignment="1">
      <alignment vertical="center"/>
    </xf>
    <xf numFmtId="165" fontId="17" fillId="15" borderId="12" xfId="0" applyNumberFormat="1" applyFont="1" applyFill="1" applyBorder="1" applyAlignment="1">
      <alignment horizontal="right" vertical="center"/>
    </xf>
    <xf numFmtId="10" fontId="16" fillId="15" borderId="12" xfId="0" applyNumberFormat="1" applyFont="1" applyFill="1" applyBorder="1" applyAlignment="1">
      <alignment horizontal="right" vertical="center"/>
    </xf>
    <xf numFmtId="0" fontId="19" fillId="0" borderId="14" xfId="0" applyFont="1" applyBorder="1" applyAlignment="1">
      <alignment vertical="center"/>
    </xf>
    <xf numFmtId="0" fontId="19" fillId="0" borderId="14" xfId="0" applyFont="1" applyBorder="1" applyAlignment="1">
      <alignment horizontal="right" vertical="center" wrapText="1"/>
    </xf>
    <xf numFmtId="0" fontId="19" fillId="0" borderId="14" xfId="0" applyFont="1" applyBorder="1" applyAlignment="1">
      <alignment horizontal="center" vertical="center" wrapText="1"/>
    </xf>
    <xf numFmtId="0" fontId="16" fillId="0" borderId="14" xfId="0" applyFont="1" applyBorder="1" applyAlignment="1">
      <alignment vertical="center"/>
    </xf>
    <xf numFmtId="10" fontId="16" fillId="0" borderId="14" xfId="0" applyNumberFormat="1" applyFont="1" applyBorder="1" applyAlignment="1">
      <alignment horizontal="right" vertical="center"/>
    </xf>
    <xf numFmtId="165" fontId="16" fillId="0" borderId="0" xfId="0" applyNumberFormat="1" applyFont="1" applyAlignment="1">
      <alignment horizontal="right" vertical="center"/>
    </xf>
    <xf numFmtId="10" fontId="16" fillId="0" borderId="0" xfId="0" applyNumberFormat="1" applyFont="1" applyAlignment="1">
      <alignment horizontal="right" vertical="center"/>
    </xf>
    <xf numFmtId="165" fontId="17" fillId="0" borderId="12" xfId="0" applyNumberFormat="1" applyFont="1" applyBorder="1" applyAlignment="1">
      <alignment horizontal="right" vertical="center"/>
    </xf>
    <xf numFmtId="0" fontId="6" fillId="0" borderId="13" xfId="0" applyFont="1" applyBorder="1" applyAlignment="1">
      <alignment horizontal="center" vertical="center" wrapText="1"/>
    </xf>
    <xf numFmtId="0" fontId="6" fillId="11" borderId="7" xfId="0" applyFont="1" applyFill="1" applyBorder="1" applyAlignment="1">
      <alignment horizontal="left" vertical="center" wrapText="1"/>
    </xf>
    <xf numFmtId="0" fontId="7" fillId="0" borderId="7" xfId="0" applyFont="1" applyBorder="1" applyAlignment="1">
      <alignment horizontal="left" vertical="center" wrapText="1"/>
    </xf>
    <xf numFmtId="0" fontId="19" fillId="0" borderId="9" xfId="0" applyFont="1" applyBorder="1" applyAlignment="1">
      <alignment horizontal="center" vertical="center"/>
    </xf>
    <xf numFmtId="165" fontId="6" fillId="0" borderId="15" xfId="0" applyNumberFormat="1" applyFont="1" applyBorder="1" applyAlignment="1">
      <alignment horizontal="right" vertical="center"/>
    </xf>
    <xf numFmtId="165" fontId="19" fillId="0" borderId="3" xfId="0" applyNumberFormat="1" applyFont="1" applyBorder="1" applyAlignment="1">
      <alignment vertical="center"/>
    </xf>
    <xf numFmtId="10" fontId="7" fillId="0" borderId="3" xfId="0" applyNumberFormat="1" applyFont="1" applyBorder="1" applyAlignment="1">
      <alignment horizontal="right" vertical="center"/>
    </xf>
    <xf numFmtId="10" fontId="7" fillId="0" borderId="15" xfId="0" applyNumberFormat="1" applyFont="1" applyBorder="1" applyAlignment="1">
      <alignment horizontal="right" vertical="center"/>
    </xf>
    <xf numFmtId="165" fontId="16" fillId="0" borderId="3" xfId="0" applyNumberFormat="1" applyFont="1" applyBorder="1" applyAlignment="1">
      <alignment vertical="center"/>
    </xf>
    <xf numFmtId="3" fontId="4" fillId="0" borderId="0" xfId="0" applyNumberFormat="1" applyFont="1" applyAlignment="1">
      <alignment vertical="center"/>
    </xf>
    <xf numFmtId="9" fontId="0" fillId="0" borderId="9" xfId="0" applyNumberFormat="1" applyBorder="1" applyAlignment="1">
      <alignment vertical="center"/>
    </xf>
    <xf numFmtId="9" fontId="5" fillId="0" borderId="8" xfId="0" applyNumberFormat="1" applyFont="1" applyBorder="1" applyAlignment="1">
      <alignment vertical="center"/>
    </xf>
    <xf numFmtId="0" fontId="0" fillId="18" borderId="0" xfId="0" applyFill="1" applyAlignment="1">
      <alignment vertical="center"/>
    </xf>
    <xf numFmtId="10" fontId="0" fillId="0" borderId="0" xfId="0" applyNumberFormat="1" applyAlignment="1">
      <alignment vertical="center"/>
    </xf>
    <xf numFmtId="0" fontId="1" fillId="0" borderId="8" xfId="0" applyFont="1" applyBorder="1" applyAlignment="1">
      <alignment horizontal="left" vertical="center" wrapText="1"/>
    </xf>
    <xf numFmtId="10" fontId="1" fillId="0" borderId="0" xfId="0" applyNumberFormat="1" applyFont="1" applyAlignment="1">
      <alignment vertical="center"/>
    </xf>
    <xf numFmtId="0" fontId="1" fillId="3" borderId="0" xfId="0" applyFont="1" applyFill="1" applyAlignment="1">
      <alignment vertical="center" wrapText="1"/>
    </xf>
    <xf numFmtId="0" fontId="1" fillId="3" borderId="4"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0" borderId="11" xfId="0" applyBorder="1" applyAlignment="1">
      <alignment horizontal="center" vertical="center" wrapText="1"/>
    </xf>
    <xf numFmtId="0" fontId="0" fillId="0" borderId="11" xfId="0" applyBorder="1" applyAlignment="1">
      <alignment horizontal="left" vertical="center" wrapText="1"/>
    </xf>
    <xf numFmtId="0" fontId="1" fillId="0" borderId="9" xfId="0" applyFont="1" applyBorder="1" applyAlignment="1">
      <alignment horizontal="left" vertical="center" wrapText="1"/>
    </xf>
    <xf numFmtId="3" fontId="4" fillId="0" borderId="8" xfId="0" applyNumberFormat="1"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1" xfId="0" applyBorder="1" applyAlignment="1">
      <alignment vertical="center"/>
    </xf>
    <xf numFmtId="0" fontId="1" fillId="0" borderId="16" xfId="0" applyFont="1" applyBorder="1" applyAlignment="1">
      <alignment vertical="center"/>
    </xf>
    <xf numFmtId="9" fontId="0" fillId="0" borderId="19" xfId="0" applyNumberFormat="1" applyBorder="1" applyAlignment="1">
      <alignment vertical="center"/>
    </xf>
    <xf numFmtId="9" fontId="0" fillId="0" borderId="20" xfId="0" applyNumberFormat="1" applyBorder="1" applyAlignment="1">
      <alignment vertical="center"/>
    </xf>
    <xf numFmtId="9" fontId="0" fillId="0" borderId="22" xfId="0" applyNumberFormat="1" applyBorder="1" applyAlignment="1">
      <alignment vertical="center"/>
    </xf>
    <xf numFmtId="4" fontId="5" fillId="0" borderId="0" xfId="0" applyNumberFormat="1" applyFont="1" applyAlignment="1">
      <alignment vertical="center"/>
    </xf>
    <xf numFmtId="0" fontId="4" fillId="0" borderId="0" xfId="0" applyFont="1" applyAlignment="1">
      <alignment horizontal="center" vertical="center" wrapText="1"/>
    </xf>
    <xf numFmtId="0" fontId="5" fillId="0" borderId="0" xfId="0" applyFont="1" applyAlignment="1">
      <alignment vertical="center" wrapText="1"/>
    </xf>
    <xf numFmtId="3" fontId="0" fillId="0" borderId="9" xfId="0" applyNumberFormat="1" applyBorder="1" applyAlignment="1">
      <alignment vertical="center"/>
    </xf>
    <xf numFmtId="9" fontId="5" fillId="0" borderId="0" xfId="0" applyNumberFormat="1" applyFont="1" applyAlignment="1">
      <alignment vertical="center" wrapText="1"/>
    </xf>
    <xf numFmtId="0" fontId="5" fillId="19" borderId="0" xfId="0" applyFont="1" applyFill="1" applyAlignment="1">
      <alignment horizontal="center" vertical="center" wrapText="1"/>
    </xf>
    <xf numFmtId="3" fontId="5" fillId="19" borderId="0" xfId="0" applyNumberFormat="1" applyFont="1" applyFill="1" applyAlignment="1">
      <alignment vertical="center"/>
    </xf>
    <xf numFmtId="3" fontId="5" fillId="19" borderId="1" xfId="0" applyNumberFormat="1" applyFont="1" applyFill="1" applyBorder="1" applyAlignment="1">
      <alignment vertical="center"/>
    </xf>
    <xf numFmtId="3" fontId="4" fillId="19" borderId="1" xfId="0" applyNumberFormat="1" applyFont="1" applyFill="1" applyBorder="1" applyAlignment="1">
      <alignment vertical="center"/>
    </xf>
    <xf numFmtId="3" fontId="4" fillId="0" borderId="0" xfId="0" applyNumberFormat="1" applyFont="1" applyAlignment="1">
      <alignment horizontal="center" vertical="center"/>
    </xf>
    <xf numFmtId="3" fontId="4" fillId="0" borderId="10" xfId="0" applyNumberFormat="1" applyFont="1" applyBorder="1" applyAlignment="1">
      <alignment horizontal="center" vertical="center"/>
    </xf>
    <xf numFmtId="3" fontId="1" fillId="0" borderId="0" xfId="0" applyNumberFormat="1" applyFont="1" applyAlignment="1">
      <alignment horizontal="center" vertical="center"/>
    </xf>
    <xf numFmtId="0" fontId="5" fillId="18" borderId="11" xfId="0" applyFont="1" applyFill="1" applyBorder="1" applyAlignment="1">
      <alignment horizontal="center" vertical="center" wrapText="1"/>
    </xf>
    <xf numFmtId="3" fontId="5" fillId="18" borderId="11" xfId="0" applyNumberFormat="1" applyFont="1" applyFill="1" applyBorder="1" applyAlignment="1">
      <alignment vertical="center"/>
    </xf>
    <xf numFmtId="3" fontId="5" fillId="18" borderId="9" xfId="0" applyNumberFormat="1" applyFont="1" applyFill="1" applyBorder="1" applyAlignment="1">
      <alignment vertical="center"/>
    </xf>
    <xf numFmtId="3" fontId="4" fillId="18" borderId="9" xfId="0" applyNumberFormat="1" applyFont="1" applyFill="1" applyBorder="1" applyAlignment="1">
      <alignment vertical="center"/>
    </xf>
    <xf numFmtId="3" fontId="4" fillId="18" borderId="4" xfId="0" applyNumberFormat="1" applyFont="1" applyFill="1" applyBorder="1" applyAlignment="1">
      <alignment vertical="center"/>
    </xf>
    <xf numFmtId="3" fontId="5" fillId="18" borderId="6" xfId="0" applyNumberFormat="1" applyFont="1" applyFill="1" applyBorder="1" applyAlignment="1">
      <alignment vertical="center"/>
    </xf>
    <xf numFmtId="3" fontId="5" fillId="18" borderId="4" xfId="0" applyNumberFormat="1" applyFont="1" applyFill="1" applyBorder="1" applyAlignment="1">
      <alignment vertical="center"/>
    </xf>
    <xf numFmtId="3" fontId="5" fillId="18" borderId="5" xfId="0" applyNumberFormat="1" applyFont="1" applyFill="1" applyBorder="1" applyAlignment="1">
      <alignment vertical="center"/>
    </xf>
    <xf numFmtId="0" fontId="5" fillId="18" borderId="6" xfId="0" applyFont="1" applyFill="1" applyBorder="1" applyAlignment="1">
      <alignment horizontal="center" vertical="center" wrapText="1"/>
    </xf>
    <xf numFmtId="3" fontId="4" fillId="18" borderId="4" xfId="0" applyNumberFormat="1" applyFont="1" applyFill="1" applyBorder="1" applyAlignment="1">
      <alignment horizontal="center" vertical="center" wrapText="1"/>
    </xf>
    <xf numFmtId="3" fontId="5" fillId="18" borderId="5" xfId="0" applyNumberFormat="1" applyFont="1" applyFill="1" applyBorder="1" applyAlignment="1">
      <alignment horizontal="center" vertical="center"/>
    </xf>
    <xf numFmtId="3" fontId="5" fillId="18" borderId="4" xfId="0" applyNumberFormat="1" applyFont="1" applyFill="1" applyBorder="1" applyAlignment="1">
      <alignment horizontal="center" vertical="center"/>
    </xf>
    <xf numFmtId="3" fontId="0" fillId="18" borderId="5" xfId="0" applyNumberFormat="1" applyFill="1" applyBorder="1" applyAlignment="1">
      <alignment horizontal="center" vertical="center"/>
    </xf>
    <xf numFmtId="3" fontId="0" fillId="18" borderId="0" xfId="0" applyNumberFormat="1" applyFill="1" applyAlignment="1">
      <alignment horizontal="center" vertical="center"/>
    </xf>
    <xf numFmtId="10" fontId="0" fillId="18" borderId="0" xfId="0" applyNumberFormat="1" applyFill="1" applyAlignment="1">
      <alignment horizontal="center" vertical="center"/>
    </xf>
    <xf numFmtId="0" fontId="4" fillId="0" borderId="11" xfId="0" applyFont="1" applyBorder="1" applyAlignment="1">
      <alignment horizontal="center" vertical="center" wrapText="1"/>
    </xf>
    <xf numFmtId="3" fontId="4" fillId="0" borderId="10" xfId="0" applyNumberFormat="1" applyFont="1" applyBorder="1" applyAlignment="1">
      <alignment horizontal="center" vertical="center" wrapText="1"/>
    </xf>
    <xf numFmtId="10" fontId="1" fillId="0" borderId="0" xfId="0" applyNumberFormat="1" applyFont="1" applyAlignment="1">
      <alignment horizontal="center" vertical="center"/>
    </xf>
    <xf numFmtId="0" fontId="5" fillId="0" borderId="11" xfId="0" applyFont="1" applyBorder="1" applyAlignment="1">
      <alignment horizontal="right" vertical="center" wrapText="1"/>
    </xf>
    <xf numFmtId="9" fontId="5" fillId="0" borderId="10" xfId="0" applyNumberFormat="1" applyFont="1" applyBorder="1" applyAlignment="1">
      <alignment horizontal="right" vertical="center"/>
    </xf>
    <xf numFmtId="9" fontId="5" fillId="0" borderId="11" xfId="0" applyNumberFormat="1" applyFont="1" applyBorder="1" applyAlignment="1">
      <alignment horizontal="right" vertical="center" wrapText="1"/>
    </xf>
    <xf numFmtId="9" fontId="5" fillId="0" borderId="10" xfId="0" applyNumberFormat="1" applyFont="1" applyBorder="1" applyAlignment="1">
      <alignment horizontal="right" vertical="center" wrapText="1"/>
    </xf>
    <xf numFmtId="9" fontId="5" fillId="0" borderId="10" xfId="0" applyNumberFormat="1" applyFont="1" applyBorder="1" applyAlignment="1">
      <alignment vertical="center"/>
    </xf>
    <xf numFmtId="0" fontId="1" fillId="3" borderId="4" xfId="0" applyFont="1" applyFill="1" applyBorder="1" applyAlignment="1">
      <alignment vertical="center" wrapText="1"/>
    </xf>
    <xf numFmtId="0" fontId="1" fillId="3" borderId="6" xfId="0" applyFont="1" applyFill="1" applyBorder="1" applyAlignment="1">
      <alignment vertical="center" wrapText="1"/>
    </xf>
    <xf numFmtId="3" fontId="0" fillId="0" borderId="11" xfId="0" applyNumberFormat="1" applyBorder="1" applyAlignment="1">
      <alignment vertical="center"/>
    </xf>
    <xf numFmtId="0" fontId="4" fillId="3" borderId="0" xfId="0" applyFont="1" applyFill="1" applyAlignment="1">
      <alignment horizontal="center" vertical="center" wrapText="1"/>
    </xf>
    <xf numFmtId="0" fontId="5" fillId="18" borderId="0" xfId="0" applyFont="1" applyFill="1" applyAlignment="1">
      <alignment horizontal="center" vertical="center" wrapText="1"/>
    </xf>
    <xf numFmtId="3" fontId="4" fillId="18" borderId="0" xfId="0" applyNumberFormat="1" applyFont="1" applyFill="1" applyAlignment="1">
      <alignment vertical="center"/>
    </xf>
    <xf numFmtId="3" fontId="4" fillId="19" borderId="0" xfId="0" applyNumberFormat="1" applyFont="1" applyFill="1" applyAlignment="1">
      <alignment vertical="center"/>
    </xf>
    <xf numFmtId="0" fontId="13" fillId="0" borderId="0" xfId="0" applyFont="1" applyAlignment="1">
      <alignment vertical="center"/>
    </xf>
    <xf numFmtId="0" fontId="5" fillId="5" borderId="0" xfId="0" applyFont="1" applyFill="1" applyAlignment="1">
      <alignment horizontal="center" vertical="center" wrapText="1"/>
    </xf>
    <xf numFmtId="3" fontId="5" fillId="5" borderId="0" xfId="0" applyNumberFormat="1" applyFont="1" applyFill="1" applyAlignment="1">
      <alignment vertical="center"/>
    </xf>
    <xf numFmtId="3" fontId="5" fillId="5" borderId="1" xfId="0" applyNumberFormat="1" applyFont="1" applyFill="1" applyBorder="1" applyAlignment="1">
      <alignment vertical="center"/>
    </xf>
    <xf numFmtId="3" fontId="4" fillId="5" borderId="1" xfId="0" applyNumberFormat="1" applyFont="1" applyFill="1" applyBorder="1" applyAlignment="1">
      <alignment vertical="center"/>
    </xf>
    <xf numFmtId="0" fontId="5" fillId="20" borderId="0" xfId="0" applyFont="1" applyFill="1" applyAlignment="1">
      <alignment horizontal="center" vertical="center" wrapText="1"/>
    </xf>
    <xf numFmtId="3" fontId="5" fillId="20" borderId="0" xfId="0" applyNumberFormat="1" applyFont="1" applyFill="1" applyAlignment="1">
      <alignment vertical="center"/>
    </xf>
    <xf numFmtId="3" fontId="5" fillId="20" borderId="1" xfId="0" applyNumberFormat="1" applyFont="1" applyFill="1" applyBorder="1" applyAlignment="1">
      <alignment vertical="center"/>
    </xf>
    <xf numFmtId="3" fontId="4" fillId="20" borderId="0" xfId="0" applyNumberFormat="1" applyFont="1" applyFill="1" applyAlignment="1">
      <alignment vertical="center"/>
    </xf>
    <xf numFmtId="0" fontId="6" fillId="17" borderId="4" xfId="0" applyFont="1" applyFill="1" applyBorder="1" applyAlignment="1">
      <alignment horizontal="left" vertical="center" wrapText="1"/>
    </xf>
    <xf numFmtId="0" fontId="6" fillId="17" borderId="6" xfId="0" applyFont="1" applyFill="1" applyBorder="1" applyAlignment="1">
      <alignment horizontal="left" vertical="center" wrapText="1"/>
    </xf>
    <xf numFmtId="0" fontId="6" fillId="17" borderId="0" xfId="0" applyFont="1" applyFill="1" applyAlignment="1">
      <alignment vertical="center" wrapText="1"/>
    </xf>
    <xf numFmtId="0" fontId="7" fillId="0" borderId="11" xfId="0" applyFont="1" applyBorder="1" applyAlignment="1">
      <alignment horizontal="center" vertical="center" wrapText="1"/>
    </xf>
    <xf numFmtId="0" fontId="7" fillId="19" borderId="0" xfId="0" applyFont="1" applyFill="1" applyAlignment="1">
      <alignment horizontal="center" vertical="center" wrapText="1"/>
    </xf>
    <xf numFmtId="0" fontId="7" fillId="18" borderId="0" xfId="0" applyFont="1" applyFill="1" applyAlignment="1">
      <alignment horizontal="center" vertical="center" wrapText="1"/>
    </xf>
    <xf numFmtId="0" fontId="7" fillId="20" borderId="11" xfId="0" applyFont="1" applyFill="1" applyBorder="1" applyAlignment="1">
      <alignment horizontal="center" vertical="center" wrapText="1"/>
    </xf>
    <xf numFmtId="0" fontId="7" fillId="0" borderId="11" xfId="0" applyFont="1" applyBorder="1" applyAlignment="1">
      <alignment horizontal="left" vertical="center" wrapText="1"/>
    </xf>
    <xf numFmtId="3" fontId="7" fillId="0" borderId="10" xfId="0" applyNumberFormat="1" applyFont="1" applyBorder="1" applyAlignment="1">
      <alignment horizontal="right" vertical="center" wrapText="1"/>
    </xf>
    <xf numFmtId="3" fontId="7" fillId="19" borderId="0" xfId="0" applyNumberFormat="1" applyFont="1" applyFill="1" applyAlignment="1">
      <alignment vertical="center"/>
    </xf>
    <xf numFmtId="3" fontId="7" fillId="18" borderId="0" xfId="0" applyNumberFormat="1" applyFont="1" applyFill="1" applyAlignment="1">
      <alignment vertical="center"/>
    </xf>
    <xf numFmtId="3" fontId="7" fillId="20" borderId="11" xfId="0" applyNumberFormat="1" applyFont="1" applyFill="1" applyBorder="1" applyAlignment="1">
      <alignment vertical="center"/>
    </xf>
    <xf numFmtId="3" fontId="7" fillId="0" borderId="8" xfId="0" applyNumberFormat="1" applyFont="1" applyBorder="1" applyAlignment="1">
      <alignment horizontal="right" vertical="center" wrapText="1"/>
    </xf>
    <xf numFmtId="3" fontId="7" fillId="19" borderId="1" xfId="0" applyNumberFormat="1" applyFont="1" applyFill="1" applyBorder="1" applyAlignment="1">
      <alignment vertical="center"/>
    </xf>
    <xf numFmtId="3" fontId="7" fillId="18" borderId="1" xfId="0" applyNumberFormat="1" applyFont="1" applyFill="1" applyBorder="1" applyAlignment="1">
      <alignment vertical="center"/>
    </xf>
    <xf numFmtId="3" fontId="7" fillId="20" borderId="9" xfId="0" applyNumberFormat="1" applyFont="1" applyFill="1" applyBorder="1" applyAlignment="1">
      <alignment vertical="center"/>
    </xf>
    <xf numFmtId="3" fontId="7" fillId="0" borderId="8" xfId="0" applyNumberFormat="1" applyFont="1" applyBorder="1" applyAlignment="1">
      <alignment vertical="center"/>
    </xf>
    <xf numFmtId="3" fontId="6" fillId="0" borderId="8" xfId="0" applyNumberFormat="1" applyFont="1" applyBorder="1" applyAlignment="1">
      <alignment horizontal="left" vertical="center" wrapText="1"/>
    </xf>
    <xf numFmtId="3" fontId="6" fillId="0" borderId="9" xfId="0" applyNumberFormat="1" applyFont="1" applyBorder="1" applyAlignment="1">
      <alignment horizontal="left" vertical="center" wrapText="1"/>
    </xf>
    <xf numFmtId="3" fontId="6" fillId="0" borderId="8" xfId="0" applyNumberFormat="1" applyFont="1" applyBorder="1" applyAlignment="1">
      <alignment horizontal="right" vertical="center" wrapText="1"/>
    </xf>
    <xf numFmtId="3" fontId="6" fillId="19" borderId="1" xfId="0" applyNumberFormat="1" applyFont="1" applyFill="1" applyBorder="1" applyAlignment="1">
      <alignment vertical="center"/>
    </xf>
    <xf numFmtId="3" fontId="6" fillId="18" borderId="1" xfId="0" applyNumberFormat="1" applyFont="1" applyFill="1" applyBorder="1" applyAlignment="1">
      <alignment vertical="center"/>
    </xf>
    <xf numFmtId="3" fontId="6" fillId="20" borderId="9" xfId="0" applyNumberFormat="1" applyFont="1" applyFill="1" applyBorder="1" applyAlignment="1">
      <alignment vertical="center"/>
    </xf>
    <xf numFmtId="3" fontId="6" fillId="0" borderId="8" xfId="0" applyNumberFormat="1" applyFont="1" applyBorder="1" applyAlignment="1">
      <alignment vertical="center"/>
    </xf>
    <xf numFmtId="169" fontId="7" fillId="0" borderId="0" xfId="0" applyNumberFormat="1" applyFont="1" applyAlignment="1">
      <alignment vertical="center"/>
    </xf>
    <xf numFmtId="3" fontId="6" fillId="19" borderId="4" xfId="0" applyNumberFormat="1" applyFont="1" applyFill="1" applyBorder="1" applyAlignment="1">
      <alignment vertical="center" wrapText="1"/>
    </xf>
    <xf numFmtId="3" fontId="6" fillId="19" borderId="6" xfId="0" applyNumberFormat="1" applyFont="1" applyFill="1" applyBorder="1" applyAlignment="1">
      <alignment vertical="center"/>
    </xf>
    <xf numFmtId="3" fontId="6" fillId="19" borderId="4" xfId="0" applyNumberFormat="1" applyFont="1" applyFill="1" applyBorder="1" applyAlignment="1">
      <alignment horizontal="right" vertical="center"/>
    </xf>
    <xf numFmtId="3" fontId="6" fillId="19" borderId="5" xfId="0" applyNumberFormat="1" applyFont="1" applyFill="1" applyBorder="1" applyAlignment="1">
      <alignment horizontal="right" vertical="center"/>
    </xf>
    <xf numFmtId="3" fontId="6" fillId="19" borderId="6" xfId="0" applyNumberFormat="1" applyFont="1" applyFill="1" applyBorder="1" applyAlignment="1">
      <alignment horizontal="right" vertical="center"/>
    </xf>
    <xf numFmtId="0" fontId="6" fillId="19" borderId="5" xfId="0" applyFont="1" applyFill="1" applyBorder="1" applyAlignment="1">
      <alignment horizontal="right" vertical="center"/>
    </xf>
    <xf numFmtId="0" fontId="6" fillId="19" borderId="0" xfId="0" applyFont="1" applyFill="1" applyAlignment="1">
      <alignment vertical="center"/>
    </xf>
    <xf numFmtId="0" fontId="7" fillId="0" borderId="10" xfId="0" applyFont="1" applyBorder="1" applyAlignment="1">
      <alignment horizontal="left" vertical="center"/>
    </xf>
    <xf numFmtId="0" fontId="7" fillId="0" borderId="11" xfId="0" applyFont="1" applyBorder="1" applyAlignment="1">
      <alignment horizontal="center" vertical="center"/>
    </xf>
    <xf numFmtId="0" fontId="7" fillId="0" borderId="10" xfId="0" applyFont="1" applyBorder="1" applyAlignment="1">
      <alignment horizontal="right" vertical="center"/>
    </xf>
    <xf numFmtId="9" fontId="7" fillId="0" borderId="0" xfId="0" applyNumberFormat="1" applyFont="1" applyAlignment="1">
      <alignment horizontal="right" vertical="center"/>
    </xf>
    <xf numFmtId="9" fontId="7" fillId="0" borderId="11" xfId="0" applyNumberFormat="1" applyFont="1" applyBorder="1" applyAlignment="1">
      <alignment horizontal="right" vertical="center"/>
    </xf>
    <xf numFmtId="9" fontId="7" fillId="0" borderId="10" xfId="0" applyNumberFormat="1" applyFont="1" applyBorder="1" applyAlignment="1">
      <alignment horizontal="right" vertical="center"/>
    </xf>
    <xf numFmtId="0" fontId="7" fillId="0" borderId="8" xfId="0" applyFont="1" applyBorder="1" applyAlignment="1">
      <alignment horizontal="left" vertical="center"/>
    </xf>
    <xf numFmtId="0" fontId="7" fillId="0" borderId="9" xfId="0" applyFont="1" applyBorder="1" applyAlignment="1">
      <alignment horizontal="center" vertical="center"/>
    </xf>
    <xf numFmtId="0" fontId="7" fillId="0" borderId="8" xfId="0" applyFont="1" applyBorder="1" applyAlignment="1">
      <alignment horizontal="right" vertical="center"/>
    </xf>
    <xf numFmtId="9" fontId="7" fillId="0" borderId="1" xfId="0" applyNumberFormat="1" applyFont="1" applyBorder="1" applyAlignment="1">
      <alignment horizontal="right" vertical="center"/>
    </xf>
    <xf numFmtId="3" fontId="7" fillId="0" borderId="9" xfId="0" applyNumberFormat="1" applyFont="1" applyBorder="1" applyAlignment="1">
      <alignment horizontal="right" vertical="center"/>
    </xf>
    <xf numFmtId="9" fontId="7" fillId="0" borderId="8" xfId="0" applyNumberFormat="1" applyFont="1" applyBorder="1" applyAlignment="1">
      <alignment horizontal="right" vertical="center"/>
    </xf>
    <xf numFmtId="9" fontId="7" fillId="0" borderId="9" xfId="0" applyNumberFormat="1" applyFont="1" applyBorder="1" applyAlignment="1">
      <alignment horizontal="right" vertical="center"/>
    </xf>
    <xf numFmtId="3" fontId="7" fillId="0" borderId="8" xfId="0" applyNumberFormat="1" applyFont="1" applyBorder="1" applyAlignment="1">
      <alignment horizontal="right" vertical="center"/>
    </xf>
    <xf numFmtId="3" fontId="6" fillId="13" borderId="4" xfId="0" applyNumberFormat="1" applyFont="1" applyFill="1" applyBorder="1" applyAlignment="1">
      <alignment horizontal="center" vertical="center"/>
    </xf>
    <xf numFmtId="9" fontId="7" fillId="13" borderId="6" xfId="0" applyNumberFormat="1" applyFont="1" applyFill="1" applyBorder="1" applyAlignment="1">
      <alignment horizontal="center" vertical="center"/>
    </xf>
    <xf numFmtId="0" fontId="7" fillId="13" borderId="4" xfId="0" applyFont="1" applyFill="1" applyBorder="1" applyAlignment="1">
      <alignment horizontal="center" vertical="center"/>
    </xf>
    <xf numFmtId="0" fontId="6" fillId="13" borderId="5" xfId="0" applyFont="1" applyFill="1" applyBorder="1" applyAlignment="1">
      <alignment horizontal="right" vertical="center" wrapText="1"/>
    </xf>
    <xf numFmtId="0" fontId="6" fillId="13" borderId="6" xfId="0" applyFont="1" applyFill="1" applyBorder="1" applyAlignment="1">
      <alignment horizontal="right" vertical="center" wrapText="1"/>
    </xf>
    <xf numFmtId="0" fontId="7" fillId="13" borderId="4" xfId="0" applyFont="1" applyFill="1" applyBorder="1" applyAlignment="1">
      <alignment horizontal="right" vertical="center"/>
    </xf>
    <xf numFmtId="0" fontId="6" fillId="13" borderId="6" xfId="0" applyFont="1" applyFill="1" applyBorder="1" applyAlignment="1">
      <alignment vertical="center" wrapText="1"/>
    </xf>
    <xf numFmtId="0" fontId="7" fillId="13" borderId="0" xfId="0" applyFont="1" applyFill="1" applyAlignment="1">
      <alignment horizontal="center" vertical="center"/>
    </xf>
    <xf numFmtId="9" fontId="16" fillId="0" borderId="0" xfId="0" applyNumberFormat="1" applyFont="1" applyAlignment="1">
      <alignment horizontal="right" vertical="center"/>
    </xf>
    <xf numFmtId="10" fontId="16" fillId="0" borderId="11" xfId="0" applyNumberFormat="1" applyFont="1" applyBorder="1" applyAlignment="1">
      <alignment horizontal="right" vertical="center"/>
    </xf>
    <xf numFmtId="9" fontId="16" fillId="0" borderId="10" xfId="0" applyNumberFormat="1" applyFont="1" applyBorder="1" applyAlignment="1">
      <alignment horizontal="right" vertical="center"/>
    </xf>
    <xf numFmtId="9" fontId="16" fillId="0" borderId="11" xfId="0" applyNumberFormat="1" applyFont="1" applyBorder="1" applyAlignment="1">
      <alignment horizontal="right" vertical="center"/>
    </xf>
    <xf numFmtId="9" fontId="7" fillId="0" borderId="11" xfId="0" applyNumberFormat="1" applyFont="1" applyBorder="1" applyAlignment="1">
      <alignment vertical="center"/>
    </xf>
    <xf numFmtId="9" fontId="16" fillId="0" borderId="1" xfId="0" applyNumberFormat="1" applyFont="1" applyBorder="1" applyAlignment="1">
      <alignment horizontal="right" vertical="center"/>
    </xf>
    <xf numFmtId="10" fontId="16" fillId="0" borderId="9" xfId="0" applyNumberFormat="1" applyFont="1" applyBorder="1" applyAlignment="1">
      <alignment horizontal="right" vertical="center"/>
    </xf>
    <xf numFmtId="9" fontId="16" fillId="0" borderId="8" xfId="0" applyNumberFormat="1" applyFont="1" applyBorder="1" applyAlignment="1">
      <alignment horizontal="right" vertical="center"/>
    </xf>
    <xf numFmtId="9" fontId="16" fillId="0" borderId="9" xfId="0" applyNumberFormat="1" applyFont="1" applyBorder="1" applyAlignment="1">
      <alignment horizontal="right" vertical="center"/>
    </xf>
    <xf numFmtId="10" fontId="16" fillId="0" borderId="1" xfId="0" applyNumberFormat="1" applyFont="1" applyBorder="1" applyAlignment="1">
      <alignment horizontal="right" vertical="center"/>
    </xf>
    <xf numFmtId="9" fontId="7" fillId="0" borderId="9" xfId="0" applyNumberFormat="1" applyFont="1" applyBorder="1" applyAlignment="1">
      <alignment vertical="center"/>
    </xf>
    <xf numFmtId="10" fontId="16" fillId="0" borderId="8" xfId="0" applyNumberFormat="1" applyFont="1" applyBorder="1" applyAlignment="1">
      <alignment horizontal="right" vertical="center"/>
    </xf>
    <xf numFmtId="9" fontId="16" fillId="0" borderId="0" xfId="0" applyNumberFormat="1" applyFont="1" applyAlignment="1">
      <alignment vertical="center"/>
    </xf>
    <xf numFmtId="10" fontId="16" fillId="0" borderId="0" xfId="0" applyNumberFormat="1" applyFont="1" applyAlignment="1">
      <alignment vertical="center"/>
    </xf>
    <xf numFmtId="0" fontId="6" fillId="18" borderId="4" xfId="0" applyFont="1" applyFill="1" applyBorder="1" applyAlignment="1">
      <alignment vertical="center"/>
    </xf>
    <xf numFmtId="9" fontId="7" fillId="18" borderId="5" xfId="0" applyNumberFormat="1" applyFont="1" applyFill="1" applyBorder="1" applyAlignment="1">
      <alignment vertical="center"/>
    </xf>
    <xf numFmtId="0" fontId="7" fillId="18" borderId="4" xfId="0" applyFont="1" applyFill="1" applyBorder="1" applyAlignment="1">
      <alignment vertical="center"/>
    </xf>
    <xf numFmtId="0" fontId="6" fillId="18" borderId="5" xfId="0" applyFont="1" applyFill="1" applyBorder="1" applyAlignment="1">
      <alignment vertical="center" wrapText="1"/>
    </xf>
    <xf numFmtId="0" fontId="6" fillId="18" borderId="5" xfId="0" applyFont="1" applyFill="1" applyBorder="1" applyAlignment="1">
      <alignment horizontal="center" vertical="center" wrapText="1"/>
    </xf>
    <xf numFmtId="0" fontId="6" fillId="18" borderId="6" xfId="0" applyFont="1" applyFill="1" applyBorder="1" applyAlignment="1">
      <alignment vertical="center" wrapText="1"/>
    </xf>
    <xf numFmtId="0" fontId="7" fillId="18" borderId="4" xfId="0" applyFont="1" applyFill="1" applyBorder="1" applyAlignment="1">
      <alignment horizontal="center" vertical="center"/>
    </xf>
    <xf numFmtId="0" fontId="6" fillId="18" borderId="6" xfId="0" applyFont="1" applyFill="1" applyBorder="1" applyAlignment="1">
      <alignment horizontal="center" vertical="center" wrapText="1"/>
    </xf>
    <xf numFmtId="0" fontId="7" fillId="18" borderId="0" xfId="0" applyFont="1" applyFill="1" applyAlignment="1">
      <alignment vertical="center"/>
    </xf>
    <xf numFmtId="9" fontId="7" fillId="0" borderId="10" xfId="0" applyNumberFormat="1" applyFont="1" applyBorder="1" applyAlignment="1">
      <alignment vertical="center"/>
    </xf>
    <xf numFmtId="0" fontId="7" fillId="0" borderId="8" xfId="0" applyFont="1" applyBorder="1" applyAlignment="1">
      <alignment horizontal="left" vertical="center" wrapText="1"/>
    </xf>
    <xf numFmtId="9" fontId="7" fillId="0" borderId="8" xfId="0" applyNumberFormat="1" applyFont="1" applyBorder="1" applyAlignment="1">
      <alignment vertical="center"/>
    </xf>
    <xf numFmtId="3" fontId="7" fillId="0" borderId="1" xfId="0" applyNumberFormat="1" applyFont="1" applyBorder="1" applyAlignment="1">
      <alignment horizontal="center" vertical="center"/>
    </xf>
    <xf numFmtId="0" fontId="17" fillId="0" borderId="0" xfId="0" applyFont="1" applyAlignment="1">
      <alignment vertical="center" wrapText="1"/>
    </xf>
    <xf numFmtId="9" fontId="5" fillId="0" borderId="0" xfId="0" applyNumberFormat="1" applyFont="1" applyAlignment="1">
      <alignment horizontal="right" vertical="center" wrapText="1"/>
    </xf>
    <xf numFmtId="9" fontId="0" fillId="0" borderId="0" xfId="0" applyNumberFormat="1" applyAlignment="1">
      <alignment horizontal="right" vertical="center"/>
    </xf>
    <xf numFmtId="9" fontId="1" fillId="0" borderId="0" xfId="0" applyNumberFormat="1" applyFont="1" applyAlignment="1">
      <alignment horizontal="center" vertical="center"/>
    </xf>
    <xf numFmtId="9" fontId="5" fillId="0" borderId="1" xfId="0" applyNumberFormat="1" applyFont="1" applyBorder="1" applyAlignment="1">
      <alignment horizontal="right" vertical="center" wrapText="1"/>
    </xf>
    <xf numFmtId="9" fontId="5" fillId="0" borderId="9" xfId="0" applyNumberFormat="1" applyFont="1" applyBorder="1" applyAlignment="1">
      <alignment horizontal="right" vertical="center" wrapText="1"/>
    </xf>
    <xf numFmtId="9" fontId="5" fillId="0" borderId="8" xfId="0" applyNumberFormat="1" applyFont="1" applyBorder="1" applyAlignment="1">
      <alignment horizontal="right" vertical="center" wrapText="1"/>
    </xf>
    <xf numFmtId="0" fontId="5" fillId="18" borderId="5" xfId="0" applyFont="1" applyFill="1" applyBorder="1" applyAlignment="1">
      <alignment horizontal="center" vertical="center" wrapText="1"/>
    </xf>
    <xf numFmtId="3" fontId="5" fillId="0" borderId="14" xfId="0" applyNumberFormat="1" applyFont="1" applyBorder="1" applyAlignment="1">
      <alignment vertical="center"/>
    </xf>
    <xf numFmtId="4" fontId="0" fillId="2" borderId="0" xfId="0" applyNumberFormat="1" applyFill="1" applyAlignment="1">
      <alignment vertical="center"/>
    </xf>
    <xf numFmtId="164" fontId="0" fillId="0" borderId="0" xfId="0" applyNumberFormat="1" applyAlignment="1">
      <alignment horizontal="right" vertical="center"/>
    </xf>
    <xf numFmtId="164" fontId="0" fillId="2" borderId="0" xfId="0" applyNumberFormat="1" applyFill="1" applyAlignment="1">
      <alignment horizontal="right" vertical="center"/>
    </xf>
    <xf numFmtId="0" fontId="6" fillId="21" borderId="5" xfId="0" applyFont="1" applyFill="1" applyBorder="1" applyAlignment="1">
      <alignment horizontal="right" vertical="center" wrapText="1"/>
    </xf>
    <xf numFmtId="0" fontId="7" fillId="21" borderId="0" xfId="0" applyFont="1" applyFill="1" applyAlignment="1">
      <alignment vertical="center"/>
    </xf>
    <xf numFmtId="0" fontId="6" fillId="0" borderId="11" xfId="0" applyFont="1" applyBorder="1" applyAlignment="1">
      <alignment vertical="center" wrapText="1"/>
    </xf>
    <xf numFmtId="0" fontId="7" fillId="0" borderId="10" xfId="0" applyFont="1" applyBorder="1" applyAlignment="1">
      <alignment horizontal="center" vertical="center"/>
    </xf>
    <xf numFmtId="0" fontId="6" fillId="17" borderId="5" xfId="0" applyFont="1" applyFill="1" applyBorder="1" applyAlignment="1">
      <alignment horizontal="left" vertical="center" wrapText="1"/>
    </xf>
    <xf numFmtId="3" fontId="6" fillId="0" borderId="1" xfId="0" applyNumberFormat="1" applyFont="1" applyBorder="1" applyAlignment="1">
      <alignment horizontal="left" vertical="center" wrapText="1"/>
    </xf>
    <xf numFmtId="0" fontId="7" fillId="0" borderId="1" xfId="0" applyFont="1" applyBorder="1" applyAlignment="1">
      <alignment vertical="center"/>
    </xf>
    <xf numFmtId="3" fontId="6" fillId="19" borderId="5" xfId="0" applyNumberFormat="1" applyFont="1" applyFill="1" applyBorder="1" applyAlignment="1">
      <alignment vertical="center" wrapText="1"/>
    </xf>
    <xf numFmtId="0" fontId="7" fillId="0" borderId="1" xfId="0" applyFont="1" applyBorder="1" applyAlignment="1">
      <alignment horizontal="left" vertical="center"/>
    </xf>
    <xf numFmtId="3" fontId="6" fillId="13" borderId="5" xfId="0" applyNumberFormat="1" applyFont="1" applyFill="1" applyBorder="1" applyAlignment="1">
      <alignment horizontal="center" vertical="center"/>
    </xf>
    <xf numFmtId="0" fontId="7" fillId="0" borderId="1" xfId="0" applyFont="1" applyBorder="1" applyAlignment="1">
      <alignment horizontal="left" vertical="center" wrapText="1"/>
    </xf>
    <xf numFmtId="10" fontId="6" fillId="0" borderId="0" xfId="0" applyNumberFormat="1" applyFont="1" applyAlignment="1">
      <alignment horizontal="center" vertical="center" wrapText="1"/>
    </xf>
    <xf numFmtId="3" fontId="6" fillId="0" borderId="11" xfId="0" applyNumberFormat="1" applyFont="1" applyBorder="1" applyAlignment="1">
      <alignment horizontal="center" vertical="center" wrapText="1"/>
    </xf>
    <xf numFmtId="3" fontId="6" fillId="0" borderId="10" xfId="0" applyNumberFormat="1" applyFont="1" applyBorder="1" applyAlignment="1">
      <alignment horizontal="right" vertical="center" wrapText="1"/>
    </xf>
    <xf numFmtId="3" fontId="6" fillId="0" borderId="0" xfId="0" applyNumberFormat="1" applyFont="1" applyAlignment="1">
      <alignment horizontal="right" vertical="center" wrapText="1"/>
    </xf>
    <xf numFmtId="9" fontId="6" fillId="0" borderId="11" xfId="0" applyNumberFormat="1" applyFont="1" applyBorder="1" applyAlignment="1">
      <alignment horizontal="right" vertical="center" wrapText="1"/>
    </xf>
    <xf numFmtId="10" fontId="6" fillId="0" borderId="10"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3" fontId="17" fillId="0" borderId="9" xfId="0" applyNumberFormat="1" applyFont="1" applyBorder="1" applyAlignment="1">
      <alignment vertical="center"/>
    </xf>
    <xf numFmtId="3" fontId="6" fillId="0" borderId="8" xfId="0" applyNumberFormat="1" applyFont="1" applyBorder="1" applyAlignment="1">
      <alignment horizontal="right" vertical="center"/>
    </xf>
    <xf numFmtId="3" fontId="6" fillId="0" borderId="1" xfId="0" applyNumberFormat="1" applyFont="1" applyBorder="1" applyAlignment="1">
      <alignment horizontal="right" vertical="center"/>
    </xf>
    <xf numFmtId="10" fontId="6" fillId="0" borderId="1" xfId="0" applyNumberFormat="1" applyFont="1" applyBorder="1" applyAlignment="1">
      <alignment horizontal="center" vertical="center"/>
    </xf>
    <xf numFmtId="9" fontId="6" fillId="0" borderId="9" xfId="0" applyNumberFormat="1" applyFont="1" applyBorder="1" applyAlignment="1">
      <alignment horizontal="right" vertical="center"/>
    </xf>
    <xf numFmtId="10" fontId="6" fillId="0" borderId="8" xfId="0" applyNumberFormat="1" applyFont="1" applyBorder="1" applyAlignment="1">
      <alignment horizontal="center" vertical="center"/>
    </xf>
    <xf numFmtId="10" fontId="6" fillId="0" borderId="9" xfId="0" applyNumberFormat="1" applyFont="1" applyBorder="1" applyAlignment="1">
      <alignment horizontal="center" vertical="center"/>
    </xf>
    <xf numFmtId="9" fontId="7" fillId="18" borderId="6" xfId="0" applyNumberFormat="1" applyFont="1" applyFill="1" applyBorder="1" applyAlignment="1">
      <alignment vertical="center"/>
    </xf>
    <xf numFmtId="0" fontId="18" fillId="0" borderId="10" xfId="0" applyFont="1" applyBorder="1" applyAlignment="1">
      <alignment vertical="center"/>
    </xf>
    <xf numFmtId="0" fontId="18" fillId="0" borderId="0" xfId="0" applyFont="1" applyAlignment="1">
      <alignment vertical="center" wrapText="1"/>
    </xf>
    <xf numFmtId="0" fontId="17" fillId="0" borderId="11" xfId="0" applyFont="1" applyBorder="1" applyAlignment="1">
      <alignment vertical="center" wrapText="1"/>
    </xf>
    <xf numFmtId="4" fontId="7" fillId="0" borderId="0" xfId="0" applyNumberFormat="1" applyFont="1" applyAlignment="1">
      <alignment vertical="center"/>
    </xf>
    <xf numFmtId="4" fontId="6" fillId="0" borderId="0" xfId="0" applyNumberFormat="1" applyFont="1" applyAlignment="1">
      <alignment horizontal="right" vertical="center" wrapText="1"/>
    </xf>
    <xf numFmtId="4" fontId="16" fillId="0" borderId="0" xfId="0" applyNumberFormat="1" applyFont="1" applyAlignment="1">
      <alignment vertical="center"/>
    </xf>
    <xf numFmtId="4" fontId="7" fillId="0" borderId="0" xfId="0" applyNumberFormat="1" applyFont="1" applyAlignment="1">
      <alignment horizontal="right" vertical="center" wrapText="1"/>
    </xf>
    <xf numFmtId="0" fontId="19" fillId="21" borderId="4" xfId="0" applyFont="1" applyFill="1" applyBorder="1" applyAlignment="1">
      <alignment horizontal="center" vertical="center"/>
    </xf>
    <xf numFmtId="0" fontId="19" fillId="21" borderId="5" xfId="0" applyFont="1" applyFill="1" applyBorder="1" applyAlignment="1">
      <alignment horizontal="center" vertical="center"/>
    </xf>
    <xf numFmtId="0" fontId="7" fillId="21" borderId="5" xfId="0" applyFont="1" applyFill="1" applyBorder="1" applyAlignment="1">
      <alignment vertical="center"/>
    </xf>
    <xf numFmtId="9" fontId="7" fillId="21" borderId="5" xfId="0" applyNumberFormat="1" applyFont="1" applyFill="1" applyBorder="1" applyAlignment="1">
      <alignment vertical="center"/>
    </xf>
    <xf numFmtId="9" fontId="16" fillId="21" borderId="5" xfId="0" applyNumberFormat="1" applyFont="1" applyFill="1" applyBorder="1" applyAlignment="1">
      <alignment vertical="center"/>
    </xf>
    <xf numFmtId="10" fontId="16" fillId="21" borderId="5" xfId="0" applyNumberFormat="1" applyFont="1" applyFill="1" applyBorder="1" applyAlignment="1">
      <alignment vertical="center"/>
    </xf>
    <xf numFmtId="0" fontId="6" fillId="21" borderId="6" xfId="0" applyFont="1" applyFill="1" applyBorder="1" applyAlignment="1">
      <alignment horizontal="right" vertical="center" wrapText="1"/>
    </xf>
    <xf numFmtId="4" fontId="19" fillId="0" borderId="0" xfId="0" applyNumberFormat="1" applyFont="1" applyAlignment="1">
      <alignment horizontal="left" vertical="center" wrapText="1"/>
    </xf>
    <xf numFmtId="4" fontId="6" fillId="0" borderId="11" xfId="0" applyNumberFormat="1" applyFont="1" applyBorder="1" applyAlignment="1">
      <alignment horizontal="right" vertical="center" wrapText="1"/>
    </xf>
    <xf numFmtId="4" fontId="17" fillId="0" borderId="0" xfId="0" applyNumberFormat="1" applyFont="1" applyAlignment="1">
      <alignment horizontal="center" vertical="center"/>
    </xf>
    <xf numFmtId="4" fontId="7" fillId="0" borderId="11" xfId="0" applyNumberFormat="1" applyFont="1" applyBorder="1" applyAlignment="1">
      <alignment horizontal="right" vertical="center" wrapText="1"/>
    </xf>
    <xf numFmtId="4" fontId="17" fillId="0" borderId="1" xfId="0" applyNumberFormat="1" applyFont="1" applyBorder="1" applyAlignment="1">
      <alignment horizontal="center" vertical="center"/>
    </xf>
    <xf numFmtId="4" fontId="7" fillId="0" borderId="1" xfId="0" applyNumberFormat="1" applyFont="1" applyBorder="1" applyAlignment="1">
      <alignment vertical="center"/>
    </xf>
    <xf numFmtId="4" fontId="16" fillId="0" borderId="1" xfId="0" applyNumberFormat="1" applyFont="1" applyBorder="1" applyAlignment="1">
      <alignment vertical="center"/>
    </xf>
    <xf numFmtId="4" fontId="7" fillId="0" borderId="1" xfId="0" applyNumberFormat="1" applyFont="1" applyBorder="1" applyAlignment="1">
      <alignment horizontal="right" vertical="center" wrapText="1"/>
    </xf>
    <xf numFmtId="4" fontId="7" fillId="0" borderId="9" xfId="0" applyNumberFormat="1" applyFont="1" applyBorder="1" applyAlignment="1">
      <alignment horizontal="right" vertical="center" wrapText="1"/>
    </xf>
    <xf numFmtId="3" fontId="6" fillId="0" borderId="11" xfId="0" applyNumberFormat="1" applyFont="1" applyBorder="1" applyAlignment="1">
      <alignment vertical="center"/>
    </xf>
    <xf numFmtId="3" fontId="6" fillId="0" borderId="10" xfId="0" applyNumberFormat="1" applyFont="1" applyBorder="1" applyAlignment="1">
      <alignment horizontal="right" vertical="center"/>
    </xf>
    <xf numFmtId="3" fontId="6" fillId="0" borderId="11" xfId="0" applyNumberFormat="1" applyFont="1" applyBorder="1" applyAlignment="1">
      <alignment horizontal="right" vertical="center"/>
    </xf>
    <xf numFmtId="3" fontId="6" fillId="0" borderId="10" xfId="0" applyNumberFormat="1" applyFont="1" applyBorder="1" applyAlignment="1">
      <alignment vertical="center"/>
    </xf>
    <xf numFmtId="4" fontId="19" fillId="0" borderId="10" xfId="0" applyNumberFormat="1" applyFont="1" applyBorder="1" applyAlignment="1">
      <alignment horizontal="left" vertical="center"/>
    </xf>
    <xf numFmtId="165" fontId="7" fillId="0" borderId="0" xfId="0" applyNumberFormat="1" applyFont="1" applyAlignment="1">
      <alignment horizontal="center" vertical="center"/>
    </xf>
    <xf numFmtId="10" fontId="7" fillId="0" borderId="1" xfId="0" applyNumberFormat="1" applyFont="1" applyBorder="1" applyAlignment="1">
      <alignment vertical="center"/>
    </xf>
    <xf numFmtId="0" fontId="11" fillId="0" borderId="0" xfId="0" applyFont="1" applyAlignment="1">
      <alignment vertical="center" wrapText="1"/>
    </xf>
    <xf numFmtId="0" fontId="17"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xf>
    <xf numFmtId="0" fontId="23" fillId="0" borderId="0" xfId="0" applyFont="1" applyAlignment="1">
      <alignment horizontal="center" vertical="center"/>
    </xf>
    <xf numFmtId="165" fontId="23" fillId="0" borderId="0" xfId="0" applyNumberFormat="1" applyFont="1" applyAlignment="1">
      <alignment horizontal="center" vertical="center"/>
    </xf>
    <xf numFmtId="10" fontId="23" fillId="0" borderId="0" xfId="0" applyNumberFormat="1" applyFont="1" applyAlignment="1">
      <alignment horizontal="center" vertical="center"/>
    </xf>
    <xf numFmtId="165" fontId="6" fillId="0" borderId="1" xfId="0" applyNumberFormat="1" applyFont="1" applyBorder="1" applyAlignment="1">
      <alignment vertical="center"/>
    </xf>
    <xf numFmtId="9" fontId="17" fillId="0" borderId="0" xfId="0" applyNumberFormat="1" applyFont="1" applyAlignment="1">
      <alignment vertical="center"/>
    </xf>
    <xf numFmtId="0" fontId="17" fillId="0" borderId="0" xfId="0" applyFont="1" applyAlignment="1">
      <alignment horizontal="right" vertical="center"/>
    </xf>
    <xf numFmtId="0" fontId="16" fillId="0" borderId="0" xfId="0" applyFont="1" applyAlignment="1">
      <alignment horizontal="right" vertical="center"/>
    </xf>
    <xf numFmtId="164" fontId="16" fillId="0" borderId="0" xfId="0" applyNumberFormat="1" applyFont="1" applyAlignment="1">
      <alignment vertical="center"/>
    </xf>
    <xf numFmtId="164" fontId="16" fillId="0" borderId="0" xfId="0" applyNumberFormat="1" applyFont="1" applyAlignment="1">
      <alignment horizontal="right" vertical="center"/>
    </xf>
    <xf numFmtId="3" fontId="16" fillId="0" borderId="0" xfId="0" applyNumberFormat="1" applyFont="1" applyAlignment="1">
      <alignment horizontal="right" vertical="center"/>
    </xf>
    <xf numFmtId="0" fontId="19" fillId="0" borderId="0" xfId="0" applyFont="1" applyAlignment="1">
      <alignment horizontal="right" vertical="center"/>
    </xf>
    <xf numFmtId="9" fontId="19" fillId="0" borderId="0" xfId="0" applyNumberFormat="1" applyFont="1" applyAlignment="1">
      <alignment vertical="center"/>
    </xf>
    <xf numFmtId="164" fontId="16" fillId="0" borderId="10" xfId="0" applyNumberFormat="1" applyFont="1" applyBorder="1" applyAlignment="1">
      <alignment vertical="center"/>
    </xf>
    <xf numFmtId="3" fontId="16" fillId="0" borderId="10" xfId="0" applyNumberFormat="1" applyFont="1" applyBorder="1" applyAlignment="1">
      <alignment vertical="center"/>
    </xf>
    <xf numFmtId="3" fontId="19" fillId="0" borderId="10" xfId="0" applyNumberFormat="1" applyFont="1" applyBorder="1" applyAlignment="1">
      <alignment vertical="center"/>
    </xf>
    <xf numFmtId="164" fontId="7" fillId="0" borderId="9" xfId="0" applyNumberFormat="1" applyFont="1" applyBorder="1" applyAlignment="1">
      <alignment horizontal="right" vertical="center" wrapText="1"/>
    </xf>
    <xf numFmtId="164" fontId="7" fillId="0" borderId="10" xfId="0" applyNumberFormat="1" applyFont="1" applyBorder="1" applyAlignment="1">
      <alignment horizontal="right" vertical="center" wrapText="1"/>
    </xf>
    <xf numFmtId="0" fontId="1" fillId="17" borderId="4" xfId="0" applyFont="1" applyFill="1" applyBorder="1" applyAlignment="1">
      <alignment horizontal="right" vertical="center"/>
    </xf>
    <xf numFmtId="164" fontId="7" fillId="17" borderId="5" xfId="0" applyNumberFormat="1" applyFont="1" applyFill="1" applyBorder="1" applyAlignment="1">
      <alignment vertical="center"/>
    </xf>
    <xf numFmtId="0" fontId="7" fillId="17" borderId="5" xfId="0" applyFont="1" applyFill="1" applyBorder="1" applyAlignment="1">
      <alignment vertical="center"/>
    </xf>
    <xf numFmtId="9" fontId="7" fillId="17" borderId="5" xfId="0" applyNumberFormat="1" applyFont="1" applyFill="1" applyBorder="1" applyAlignment="1">
      <alignment vertical="center"/>
    </xf>
    <xf numFmtId="0" fontId="16" fillId="0" borderId="10" xfId="0" applyFont="1" applyBorder="1" applyAlignment="1">
      <alignment horizontal="right" vertical="center"/>
    </xf>
    <xf numFmtId="9" fontId="0" fillId="17" borderId="6" xfId="0" applyNumberFormat="1" applyFill="1" applyBorder="1" applyAlignment="1">
      <alignment vertical="center"/>
    </xf>
    <xf numFmtId="165" fontId="17" fillId="0" borderId="0" xfId="0" applyNumberFormat="1" applyFont="1" applyAlignment="1">
      <alignment horizontal="center" vertical="center"/>
    </xf>
    <xf numFmtId="165" fontId="17" fillId="0" borderId="0" xfId="0" applyNumberFormat="1" applyFont="1" applyAlignment="1">
      <alignment vertical="center"/>
    </xf>
    <xf numFmtId="0" fontId="18" fillId="0" borderId="0" xfId="0" applyFont="1" applyAlignment="1">
      <alignment horizontal="center" vertical="center"/>
    </xf>
    <xf numFmtId="165" fontId="5" fillId="0" borderId="11" xfId="0" applyNumberFormat="1" applyFont="1" applyBorder="1" applyAlignment="1">
      <alignment vertical="center"/>
    </xf>
    <xf numFmtId="165" fontId="4" fillId="0" borderId="11" xfId="0" applyNumberFormat="1" applyFont="1" applyBorder="1" applyAlignment="1">
      <alignment vertical="center"/>
    </xf>
    <xf numFmtId="0" fontId="8" fillId="0" borderId="11" xfId="0" applyFont="1" applyBorder="1" applyAlignment="1">
      <alignment horizontal="right" vertical="center"/>
    </xf>
    <xf numFmtId="0" fontId="4" fillId="4" borderId="13" xfId="0" applyFont="1" applyFill="1" applyBorder="1" applyAlignment="1">
      <alignment vertical="center"/>
    </xf>
    <xf numFmtId="0" fontId="8" fillId="0" borderId="7" xfId="0" applyFont="1" applyBorder="1" applyAlignment="1">
      <alignment horizontal="right" vertical="center"/>
    </xf>
    <xf numFmtId="0" fontId="5" fillId="0" borderId="8" xfId="0" applyFont="1" applyBorder="1" applyAlignment="1">
      <alignment vertical="center"/>
    </xf>
    <xf numFmtId="0" fontId="5" fillId="0" borderId="12" xfId="0" applyFont="1" applyBorder="1" applyAlignment="1">
      <alignment vertical="center"/>
    </xf>
    <xf numFmtId="165" fontId="5" fillId="0" borderId="12" xfId="0" applyNumberFormat="1" applyFont="1" applyBorder="1" applyAlignment="1">
      <alignment vertical="center"/>
    </xf>
    <xf numFmtId="165" fontId="5" fillId="0" borderId="0" xfId="0" applyNumberFormat="1" applyFont="1" applyAlignment="1">
      <alignment vertical="center"/>
    </xf>
    <xf numFmtId="0" fontId="24" fillId="0" borderId="0" xfId="0" applyFont="1" applyAlignment="1">
      <alignment vertical="center"/>
    </xf>
    <xf numFmtId="10" fontId="6" fillId="0" borderId="14" xfId="0" applyNumberFormat="1" applyFont="1" applyBorder="1" applyAlignment="1">
      <alignment horizontal="right" vertical="center"/>
    </xf>
    <xf numFmtId="4" fontId="7" fillId="0" borderId="14" xfId="0" applyNumberFormat="1" applyFont="1" applyBorder="1" applyAlignment="1">
      <alignment vertical="center"/>
    </xf>
    <xf numFmtId="10" fontId="7" fillId="0" borderId="14" xfId="0" applyNumberFormat="1" applyFont="1" applyBorder="1" applyAlignment="1">
      <alignment vertical="center"/>
    </xf>
    <xf numFmtId="10" fontId="7" fillId="0" borderId="14" xfId="0" applyNumberFormat="1" applyFont="1" applyBorder="1" applyAlignment="1">
      <alignment horizontal="right" vertical="center"/>
    </xf>
    <xf numFmtId="9" fontId="7" fillId="0" borderId="14" xfId="0" applyNumberFormat="1" applyFont="1" applyBorder="1" applyAlignment="1">
      <alignment horizontal="right" vertical="center"/>
    </xf>
    <xf numFmtId="10" fontId="7" fillId="0" borderId="0" xfId="0" applyNumberFormat="1" applyFont="1" applyAlignment="1">
      <alignment horizontal="right" vertical="center"/>
    </xf>
    <xf numFmtId="164" fontId="7" fillId="0" borderId="14" xfId="0" applyNumberFormat="1" applyFont="1" applyBorder="1" applyAlignment="1">
      <alignment vertical="center"/>
    </xf>
    <xf numFmtId="0" fontId="7" fillId="13" borderId="14" xfId="0" applyFont="1" applyFill="1" applyBorder="1" applyAlignment="1">
      <alignment vertical="center"/>
    </xf>
    <xf numFmtId="0" fontId="7" fillId="13" borderId="0" xfId="0" applyFont="1" applyFill="1" applyAlignment="1">
      <alignment vertical="center"/>
    </xf>
    <xf numFmtId="164" fontId="7" fillId="13" borderId="14" xfId="0" applyNumberFormat="1" applyFont="1" applyFill="1" applyBorder="1" applyAlignment="1">
      <alignment vertical="center"/>
    </xf>
    <xf numFmtId="0" fontId="17" fillId="0" borderId="14" xfId="0" applyFont="1" applyBorder="1" applyAlignment="1">
      <alignment vertical="center"/>
    </xf>
    <xf numFmtId="10" fontId="17" fillId="0" borderId="14" xfId="0" applyNumberFormat="1" applyFont="1" applyBorder="1" applyAlignment="1">
      <alignment horizontal="right" vertical="center"/>
    </xf>
    <xf numFmtId="0" fontId="17" fillId="0" borderId="14" xfId="0" applyFont="1" applyBorder="1" applyAlignment="1">
      <alignment horizontal="right" vertical="center"/>
    </xf>
    <xf numFmtId="165" fontId="7" fillId="0" borderId="12" xfId="0" applyNumberFormat="1" applyFont="1" applyBorder="1" applyAlignment="1">
      <alignment horizontal="right" vertical="center"/>
    </xf>
    <xf numFmtId="0" fontId="5" fillId="2" borderId="0" xfId="0" applyFont="1" applyFill="1" applyAlignment="1">
      <alignment vertical="center"/>
    </xf>
    <xf numFmtId="0" fontId="6" fillId="2"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10" fontId="6" fillId="2" borderId="0" xfId="0" applyNumberFormat="1" applyFont="1" applyFill="1" applyAlignment="1">
      <alignment horizontal="center" vertical="center" wrapText="1"/>
    </xf>
    <xf numFmtId="0" fontId="6" fillId="2" borderId="0" xfId="0" applyFont="1" applyFill="1" applyAlignment="1">
      <alignment vertical="center" wrapText="1"/>
    </xf>
    <xf numFmtId="0" fontId="6" fillId="2" borderId="4" xfId="0" applyFont="1" applyFill="1" applyBorder="1" applyAlignment="1">
      <alignment vertical="center"/>
    </xf>
    <xf numFmtId="0" fontId="6" fillId="2" borderId="10" xfId="0" applyFont="1" applyFill="1" applyBorder="1" applyAlignment="1">
      <alignment vertical="center"/>
    </xf>
    <xf numFmtId="165" fontId="6" fillId="11" borderId="0" xfId="0" applyNumberFormat="1" applyFont="1" applyFill="1" applyAlignment="1">
      <alignment vertical="center"/>
    </xf>
    <xf numFmtId="165" fontId="6" fillId="12" borderId="0" xfId="0" applyNumberFormat="1" applyFont="1" applyFill="1" applyAlignment="1">
      <alignment vertical="center"/>
    </xf>
    <xf numFmtId="165" fontId="6" fillId="3" borderId="1" xfId="0" applyNumberFormat="1" applyFont="1" applyFill="1" applyBorder="1" applyAlignment="1">
      <alignment vertical="center"/>
    </xf>
    <xf numFmtId="3" fontId="6" fillId="11" borderId="0" xfId="0" applyNumberFormat="1" applyFont="1" applyFill="1" applyAlignment="1">
      <alignment vertical="center"/>
    </xf>
    <xf numFmtId="9" fontId="6" fillId="11" borderId="0" xfId="0" applyNumberFormat="1" applyFont="1" applyFill="1" applyAlignment="1">
      <alignment horizontal="center" vertical="center"/>
    </xf>
    <xf numFmtId="9" fontId="6" fillId="0" borderId="0" xfId="0" applyNumberFormat="1" applyFont="1" applyAlignment="1">
      <alignment horizontal="center" vertical="center"/>
    </xf>
    <xf numFmtId="9" fontId="6" fillId="12" borderId="0" xfId="0" applyNumberFormat="1" applyFont="1" applyFill="1" applyAlignment="1">
      <alignment horizontal="center" vertical="center"/>
    </xf>
    <xf numFmtId="3" fontId="6" fillId="12" borderId="0" xfId="0" applyNumberFormat="1" applyFont="1" applyFill="1" applyAlignment="1">
      <alignment vertical="center"/>
    </xf>
    <xf numFmtId="10" fontId="7" fillId="11" borderId="0" xfId="0" applyNumberFormat="1" applyFont="1" applyFill="1" applyAlignment="1">
      <alignment horizontal="center" vertical="center"/>
    </xf>
    <xf numFmtId="9" fontId="6" fillId="11" borderId="11" xfId="0" applyNumberFormat="1" applyFont="1" applyFill="1" applyBorder="1" applyAlignment="1">
      <alignment vertical="center"/>
    </xf>
    <xf numFmtId="3" fontId="6" fillId="12" borderId="0" xfId="0" applyNumberFormat="1" applyFont="1" applyFill="1" applyAlignment="1">
      <alignment horizontal="center" vertical="center"/>
    </xf>
    <xf numFmtId="9" fontId="6" fillId="12" borderId="11" xfId="0" applyNumberFormat="1" applyFont="1" applyFill="1" applyBorder="1" applyAlignment="1">
      <alignment vertical="center"/>
    </xf>
    <xf numFmtId="3" fontId="6" fillId="3" borderId="9" xfId="0" applyNumberFormat="1" applyFont="1" applyFill="1" applyBorder="1" applyAlignment="1">
      <alignment vertical="center"/>
    </xf>
    <xf numFmtId="9" fontId="7" fillId="0" borderId="11" xfId="0" applyNumberFormat="1" applyFont="1" applyBorder="1" applyAlignment="1">
      <alignment horizontal="center" vertical="center"/>
    </xf>
    <xf numFmtId="0" fontId="6"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3" fontId="7" fillId="0" borderId="10" xfId="0" applyNumberFormat="1" applyFont="1" applyBorder="1" applyAlignment="1">
      <alignment horizontal="center" vertical="center" wrapText="1"/>
    </xf>
    <xf numFmtId="3" fontId="7" fillId="0" borderId="11" xfId="0" applyNumberFormat="1" applyFont="1" applyBorder="1" applyAlignment="1">
      <alignment horizontal="right" vertical="center" wrapText="1"/>
    </xf>
    <xf numFmtId="3" fontId="7" fillId="0" borderId="9" xfId="0" applyNumberFormat="1" applyFont="1" applyBorder="1" applyAlignment="1">
      <alignment horizontal="right" vertical="center" wrapText="1"/>
    </xf>
    <xf numFmtId="0" fontId="7" fillId="13" borderId="14" xfId="0" applyFont="1" applyFill="1" applyBorder="1" applyAlignment="1">
      <alignment horizontal="center" vertical="center"/>
    </xf>
    <xf numFmtId="0" fontId="4" fillId="0" borderId="11" xfId="0" applyFont="1" applyBorder="1" applyAlignment="1">
      <alignment horizontal="left" vertical="center" wrapText="1"/>
    </xf>
    <xf numFmtId="10" fontId="7" fillId="13" borderId="14" xfId="0" applyNumberFormat="1" applyFont="1" applyFill="1" applyBorder="1" applyAlignment="1">
      <alignment vertical="center"/>
    </xf>
    <xf numFmtId="10" fontId="7" fillId="0" borderId="14" xfId="0" applyNumberFormat="1" applyFont="1" applyBorder="1" applyAlignment="1">
      <alignment horizontal="center" vertical="center"/>
    </xf>
    <xf numFmtId="0" fontId="7" fillId="13" borderId="14" xfId="0" applyFont="1" applyFill="1" applyBorder="1" applyAlignment="1">
      <alignment vertical="center" wrapText="1"/>
    </xf>
    <xf numFmtId="10" fontId="7" fillId="13" borderId="14" xfId="0" applyNumberFormat="1" applyFont="1" applyFill="1" applyBorder="1" applyAlignment="1">
      <alignment horizontal="center" vertical="center"/>
    </xf>
    <xf numFmtId="165" fontId="4" fillId="22" borderId="13" xfId="0" applyNumberFormat="1" applyFont="1" applyFill="1" applyBorder="1" applyAlignment="1">
      <alignment horizontal="right" vertical="center" wrapText="1"/>
    </xf>
    <xf numFmtId="0" fontId="0" fillId="22" borderId="0" xfId="0" applyFill="1" applyAlignment="1">
      <alignment vertical="center"/>
    </xf>
    <xf numFmtId="0" fontId="4" fillId="23" borderId="10" xfId="0" applyFont="1" applyFill="1" applyBorder="1" applyAlignment="1">
      <alignment vertical="center"/>
    </xf>
    <xf numFmtId="0" fontId="4" fillId="23" borderId="11" xfId="0" applyFont="1" applyFill="1" applyBorder="1" applyAlignment="1">
      <alignment vertical="center"/>
    </xf>
    <xf numFmtId="165" fontId="4" fillId="23" borderId="13" xfId="0" applyNumberFormat="1" applyFont="1" applyFill="1" applyBorder="1" applyAlignment="1">
      <alignment horizontal="right" vertical="center" wrapText="1"/>
    </xf>
    <xf numFmtId="165" fontId="1" fillId="23" borderId="0" xfId="0" applyNumberFormat="1" applyFont="1" applyFill="1" applyAlignment="1">
      <alignment vertical="center"/>
    </xf>
    <xf numFmtId="0" fontId="1" fillId="23" borderId="0" xfId="0" applyFont="1" applyFill="1" applyAlignment="1">
      <alignment vertical="center"/>
    </xf>
    <xf numFmtId="165" fontId="4" fillId="0" borderId="13" xfId="0" applyNumberFormat="1" applyFont="1" applyBorder="1" applyAlignment="1">
      <alignment horizontal="right" vertical="center" wrapText="1"/>
    </xf>
    <xf numFmtId="0" fontId="4" fillId="0" borderId="13" xfId="0" applyFont="1" applyBorder="1" applyAlignment="1">
      <alignment horizontal="right" vertical="center" wrapText="1"/>
    </xf>
    <xf numFmtId="0" fontId="1" fillId="0" borderId="0" xfId="0" applyFont="1" applyAlignment="1">
      <alignment horizontal="right" vertical="center"/>
    </xf>
    <xf numFmtId="10" fontId="6" fillId="0" borderId="0" xfId="0" applyNumberFormat="1" applyFont="1" applyAlignment="1">
      <alignment vertical="center"/>
    </xf>
    <xf numFmtId="10" fontId="6" fillId="4" borderId="0" xfId="0" applyNumberFormat="1" applyFont="1" applyFill="1" applyAlignment="1">
      <alignment vertical="center"/>
    </xf>
    <xf numFmtId="0" fontId="7" fillId="16" borderId="0" xfId="0" applyFont="1" applyFill="1" applyAlignment="1">
      <alignment vertical="center"/>
    </xf>
    <xf numFmtId="0" fontId="17" fillId="15" borderId="0" xfId="0" applyFont="1" applyFill="1" applyAlignment="1">
      <alignment vertical="center"/>
    </xf>
    <xf numFmtId="0" fontId="7" fillId="0" borderId="14" xfId="0" applyFont="1" applyBorder="1" applyAlignment="1">
      <alignment horizontal="left" vertical="center" wrapText="1" indent="3"/>
    </xf>
    <xf numFmtId="0" fontId="0" fillId="0" borderId="0" xfId="0" applyAlignment="1">
      <alignment horizontal="right" vertical="center" wrapText="1"/>
    </xf>
    <xf numFmtId="4" fontId="7" fillId="13" borderId="14" xfId="0" applyNumberFormat="1" applyFont="1" applyFill="1" applyBorder="1" applyAlignment="1">
      <alignment horizontal="center" vertical="center"/>
    </xf>
    <xf numFmtId="10" fontId="7" fillId="0" borderId="0" xfId="0" applyNumberFormat="1" applyFont="1" applyAlignment="1">
      <alignment vertical="center" wrapText="1"/>
    </xf>
    <xf numFmtId="0" fontId="6" fillId="11" borderId="7" xfId="0" applyFont="1" applyFill="1" applyBorder="1" applyAlignment="1">
      <alignment vertical="center"/>
    </xf>
    <xf numFmtId="0" fontId="6" fillId="0" borderId="7" xfId="0" applyFont="1" applyBorder="1" applyAlignment="1">
      <alignment horizontal="center" vertical="center"/>
    </xf>
    <xf numFmtId="0" fontId="6" fillId="11" borderId="7" xfId="0" applyFont="1" applyFill="1" applyBorder="1" applyAlignment="1">
      <alignment horizontal="center" vertical="center"/>
    </xf>
    <xf numFmtId="0" fontId="6" fillId="11" borderId="0" xfId="0" applyFont="1" applyFill="1" applyAlignment="1">
      <alignment horizontal="center" vertical="center"/>
    </xf>
    <xf numFmtId="0" fontId="11" fillId="11" borderId="0" xfId="0" applyFont="1" applyFill="1" applyAlignment="1">
      <alignment horizontal="left" vertical="center"/>
    </xf>
    <xf numFmtId="165" fontId="7" fillId="0" borderId="7" xfId="0" applyNumberFormat="1" applyFont="1" applyBorder="1" applyAlignment="1">
      <alignment vertical="center"/>
    </xf>
    <xf numFmtId="0" fontId="6" fillId="0" borderId="0" xfId="0" applyFont="1" applyAlignment="1">
      <alignment horizontal="center" vertical="center"/>
    </xf>
    <xf numFmtId="0" fontId="11" fillId="0" borderId="0" xfId="0" applyFont="1" applyAlignment="1">
      <alignment horizontal="left"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6" fillId="5" borderId="14" xfId="0" applyFont="1" applyFill="1" applyBorder="1" applyAlignment="1">
      <alignment vertical="center"/>
    </xf>
    <xf numFmtId="165" fontId="6" fillId="0" borderId="12" xfId="0" applyNumberFormat="1" applyFont="1" applyBorder="1" applyAlignment="1">
      <alignment vertical="center"/>
    </xf>
    <xf numFmtId="165" fontId="6" fillId="5" borderId="12" xfId="0" applyNumberFormat="1" applyFont="1" applyFill="1" applyBorder="1" applyAlignment="1">
      <alignment horizontal="right" vertical="center"/>
    </xf>
    <xf numFmtId="0" fontId="7" fillId="5" borderId="0" xfId="0" applyFont="1" applyFill="1" applyAlignment="1">
      <alignment vertical="center"/>
    </xf>
    <xf numFmtId="165" fontId="6" fillId="0" borderId="13" xfId="0" applyNumberFormat="1" applyFont="1" applyBorder="1" applyAlignment="1">
      <alignment vertical="center"/>
    </xf>
    <xf numFmtId="0" fontId="6" fillId="10" borderId="14" xfId="0" applyFont="1" applyFill="1" applyBorder="1" applyAlignment="1">
      <alignment vertical="center"/>
    </xf>
    <xf numFmtId="165" fontId="6" fillId="10" borderId="14" xfId="0" applyNumberFormat="1" applyFont="1" applyFill="1" applyBorder="1" applyAlignment="1">
      <alignment vertical="center"/>
    </xf>
    <xf numFmtId="165" fontId="6" fillId="0" borderId="7" xfId="0" applyNumberFormat="1" applyFont="1" applyBorder="1" applyAlignment="1">
      <alignment vertical="center"/>
    </xf>
    <xf numFmtId="0" fontId="6" fillId="15" borderId="12" xfId="0" applyFont="1" applyFill="1" applyBorder="1" applyAlignment="1">
      <alignment vertical="center"/>
    </xf>
    <xf numFmtId="165" fontId="6" fillId="15" borderId="12" xfId="0" applyNumberFormat="1" applyFont="1" applyFill="1" applyBorder="1" applyAlignment="1">
      <alignment horizontal="right" vertical="center"/>
    </xf>
    <xf numFmtId="0" fontId="6" fillId="15" borderId="0" xfId="0" applyFont="1" applyFill="1" applyAlignment="1">
      <alignment vertical="center"/>
    </xf>
    <xf numFmtId="165" fontId="6" fillId="13" borderId="12" xfId="0" applyNumberFormat="1" applyFont="1" applyFill="1" applyBorder="1" applyAlignment="1">
      <alignment horizontal="right" vertical="center"/>
    </xf>
    <xf numFmtId="0" fontId="6" fillId="0" borderId="14" xfId="0" applyFont="1" applyBorder="1" applyAlignment="1">
      <alignment horizontal="left" vertical="center" wrapText="1"/>
    </xf>
    <xf numFmtId="0" fontId="1" fillId="15" borderId="0" xfId="0" applyFont="1" applyFill="1" applyAlignment="1">
      <alignment horizontal="left" vertical="center" wrapText="1"/>
    </xf>
    <xf numFmtId="0" fontId="0" fillId="15" borderId="0" xfId="0" applyFill="1" applyAlignment="1">
      <alignment vertical="center"/>
    </xf>
    <xf numFmtId="0" fontId="1" fillId="15" borderId="0" xfId="0" applyFont="1" applyFill="1" applyAlignment="1">
      <alignment vertical="center"/>
    </xf>
    <xf numFmtId="0" fontId="5" fillId="15" borderId="0" xfId="0" applyFont="1" applyFill="1" applyAlignment="1">
      <alignment vertical="center"/>
    </xf>
    <xf numFmtId="3" fontId="5" fillId="15" borderId="0" xfId="0" applyNumberFormat="1" applyFont="1" applyFill="1" applyAlignment="1">
      <alignment vertical="center"/>
    </xf>
    <xf numFmtId="0" fontId="4" fillId="15" borderId="0" xfId="0" applyFont="1" applyFill="1" applyAlignment="1">
      <alignment horizontal="center" vertical="center" wrapText="1"/>
    </xf>
    <xf numFmtId="3" fontId="0" fillId="15" borderId="0" xfId="0" applyNumberFormat="1" applyFill="1" applyAlignment="1">
      <alignment vertical="center"/>
    </xf>
    <xf numFmtId="3" fontId="4" fillId="15" borderId="0" xfId="0" applyNumberFormat="1" applyFont="1" applyFill="1" applyAlignment="1">
      <alignment vertical="center"/>
    </xf>
    <xf numFmtId="3" fontId="4" fillId="19" borderId="4" xfId="0" applyNumberFormat="1" applyFont="1" applyFill="1" applyBorder="1" applyAlignment="1">
      <alignment vertical="center" wrapText="1"/>
    </xf>
    <xf numFmtId="3" fontId="5" fillId="19" borderId="6" xfId="0" applyNumberFormat="1" applyFont="1" applyFill="1" applyBorder="1" applyAlignment="1">
      <alignment vertical="center"/>
    </xf>
    <xf numFmtId="0" fontId="0" fillId="19" borderId="4" xfId="0" applyFill="1" applyBorder="1" applyAlignment="1">
      <alignment horizontal="center" vertical="center"/>
    </xf>
    <xf numFmtId="0" fontId="5" fillId="19" borderId="5" xfId="0" applyFont="1" applyFill="1" applyBorder="1" applyAlignment="1">
      <alignment horizontal="center" vertical="center" wrapText="1"/>
    </xf>
    <xf numFmtId="3" fontId="5" fillId="19" borderId="5" xfId="0" applyNumberFormat="1" applyFont="1" applyFill="1" applyBorder="1" applyAlignment="1">
      <alignment horizontal="center" vertical="center" wrapText="1"/>
    </xf>
    <xf numFmtId="3" fontId="5" fillId="19" borderId="6" xfId="0" applyNumberFormat="1" applyFont="1" applyFill="1" applyBorder="1" applyAlignment="1">
      <alignment horizontal="center" vertical="center"/>
    </xf>
    <xf numFmtId="0" fontId="5" fillId="19" borderId="4" xfId="0" applyFont="1" applyFill="1" applyBorder="1" applyAlignment="1">
      <alignment horizontal="center" vertical="center" wrapText="1"/>
    </xf>
    <xf numFmtId="3" fontId="5" fillId="19" borderId="5" xfId="0" applyNumberFormat="1" applyFont="1" applyFill="1" applyBorder="1" applyAlignment="1">
      <alignment horizontal="center" vertical="center"/>
    </xf>
    <xf numFmtId="3" fontId="0" fillId="19" borderId="6" xfId="0" applyNumberFormat="1" applyFill="1" applyBorder="1" applyAlignment="1">
      <alignment horizontal="center" vertical="center"/>
    </xf>
    <xf numFmtId="3" fontId="0" fillId="19" borderId="5" xfId="0" applyNumberFormat="1" applyFill="1" applyBorder="1" applyAlignment="1">
      <alignment horizontal="center" vertical="center"/>
    </xf>
    <xf numFmtId="10" fontId="0" fillId="19" borderId="6" xfId="0" applyNumberFormat="1" applyFill="1" applyBorder="1" applyAlignment="1">
      <alignment horizontal="center" vertical="center"/>
    </xf>
    <xf numFmtId="10" fontId="0" fillId="19" borderId="0" xfId="0" applyNumberFormat="1" applyFill="1" applyAlignment="1">
      <alignment horizontal="center" vertical="center"/>
    </xf>
    <xf numFmtId="0" fontId="5" fillId="19" borderId="5" xfId="0" applyFont="1" applyFill="1" applyBorder="1" applyAlignment="1">
      <alignment vertical="center" wrapText="1"/>
    </xf>
    <xf numFmtId="10" fontId="0" fillId="19" borderId="0" xfId="0" applyNumberFormat="1" applyFill="1" applyAlignment="1">
      <alignment horizontal="left" vertical="center"/>
    </xf>
    <xf numFmtId="0" fontId="0" fillId="19" borderId="23" xfId="0" applyFill="1" applyBorder="1" applyAlignment="1">
      <alignment horizontal="center" vertical="center"/>
    </xf>
    <xf numFmtId="0" fontId="0" fillId="19" borderId="23" xfId="0" applyFill="1" applyBorder="1" applyAlignment="1">
      <alignment vertical="center"/>
    </xf>
    <xf numFmtId="0" fontId="1" fillId="19" borderId="10" xfId="0" applyFont="1" applyFill="1" applyBorder="1" applyAlignment="1">
      <alignment vertical="center"/>
    </xf>
    <xf numFmtId="0" fontId="4" fillId="19" borderId="0" xfId="0" applyFont="1" applyFill="1" applyAlignment="1">
      <alignment vertical="center" wrapText="1"/>
    </xf>
    <xf numFmtId="3" fontId="4" fillId="19" borderId="0" xfId="0" applyNumberFormat="1" applyFont="1" applyFill="1" applyAlignment="1">
      <alignment horizontal="center" vertical="center" wrapText="1"/>
    </xf>
    <xf numFmtId="3" fontId="4" fillId="19" borderId="11" xfId="0" applyNumberFormat="1" applyFont="1" applyFill="1" applyBorder="1" applyAlignment="1">
      <alignment horizontal="center" vertical="center"/>
    </xf>
    <xf numFmtId="3" fontId="4" fillId="19" borderId="0" xfId="0" applyNumberFormat="1" applyFont="1" applyFill="1" applyAlignment="1">
      <alignment horizontal="center" vertical="center"/>
    </xf>
    <xf numFmtId="3" fontId="4" fillId="19" borderId="10" xfId="0" applyNumberFormat="1" applyFont="1" applyFill="1" applyBorder="1" applyAlignment="1">
      <alignment horizontal="center" vertical="center"/>
    </xf>
    <xf numFmtId="3" fontId="1" fillId="19" borderId="10" xfId="0" applyNumberFormat="1" applyFont="1" applyFill="1" applyBorder="1" applyAlignment="1">
      <alignment horizontal="center" vertical="center"/>
    </xf>
    <xf numFmtId="3" fontId="1" fillId="19" borderId="11" xfId="0" applyNumberFormat="1" applyFont="1" applyFill="1" applyBorder="1" applyAlignment="1">
      <alignment horizontal="center" vertical="center"/>
    </xf>
    <xf numFmtId="10" fontId="1" fillId="19" borderId="0" xfId="0" applyNumberFormat="1" applyFont="1" applyFill="1" applyAlignment="1">
      <alignment horizontal="center" vertical="center"/>
    </xf>
    <xf numFmtId="10" fontId="0" fillId="19" borderId="7" xfId="0" applyNumberFormat="1" applyFill="1" applyBorder="1" applyAlignment="1">
      <alignment horizontal="left" vertical="center"/>
    </xf>
    <xf numFmtId="3" fontId="1" fillId="19" borderId="0" xfId="0" applyNumberFormat="1" applyFont="1" applyFill="1" applyAlignment="1">
      <alignment horizontal="center" vertical="center"/>
    </xf>
    <xf numFmtId="0" fontId="1" fillId="19" borderId="0" xfId="0" applyFont="1" applyFill="1" applyAlignment="1">
      <alignment horizontal="center" vertical="center"/>
    </xf>
    <xf numFmtId="0" fontId="1" fillId="19" borderId="0" xfId="0" applyFont="1" applyFill="1" applyAlignment="1">
      <alignment vertical="center"/>
    </xf>
    <xf numFmtId="0" fontId="1" fillId="19" borderId="10" xfId="0" applyFont="1" applyFill="1" applyBorder="1" applyAlignment="1">
      <alignment horizontal="left" vertical="center"/>
    </xf>
    <xf numFmtId="0" fontId="0" fillId="19" borderId="11" xfId="0" applyFill="1" applyBorder="1" applyAlignment="1">
      <alignment horizontal="center" vertical="center"/>
    </xf>
    <xf numFmtId="0" fontId="0" fillId="19" borderId="10" xfId="0" applyFill="1" applyBorder="1" applyAlignment="1">
      <alignment horizontal="center" vertical="center"/>
    </xf>
    <xf numFmtId="9" fontId="5" fillId="19" borderId="0" xfId="0" applyNumberFormat="1" applyFont="1" applyFill="1" applyAlignment="1">
      <alignment horizontal="center" vertical="center"/>
    </xf>
    <xf numFmtId="0" fontId="0" fillId="19" borderId="0" xfId="0" applyFill="1" applyAlignment="1">
      <alignment horizontal="center" vertical="center"/>
    </xf>
    <xf numFmtId="3" fontId="5" fillId="19" borderId="11" xfId="0" applyNumberFormat="1" applyFont="1" applyFill="1" applyBorder="1" applyAlignment="1">
      <alignment horizontal="center" vertical="center"/>
    </xf>
    <xf numFmtId="3" fontId="5" fillId="19" borderId="0" xfId="0" applyNumberFormat="1" applyFont="1" applyFill="1" applyAlignment="1">
      <alignment horizontal="center" vertical="center"/>
    </xf>
    <xf numFmtId="3" fontId="0" fillId="19" borderId="11" xfId="0" applyNumberFormat="1" applyFill="1" applyBorder="1" applyAlignment="1">
      <alignment horizontal="center" vertical="center"/>
    </xf>
    <xf numFmtId="3" fontId="0" fillId="19" borderId="0" xfId="0" applyNumberFormat="1" applyFill="1" applyAlignment="1">
      <alignment horizontal="center" vertical="center"/>
    </xf>
    <xf numFmtId="10" fontId="0" fillId="19" borderId="11" xfId="0" applyNumberFormat="1" applyFill="1" applyBorder="1" applyAlignment="1">
      <alignment horizontal="center" vertical="center"/>
    </xf>
    <xf numFmtId="9" fontId="5" fillId="19" borderId="13" xfId="0" applyNumberFormat="1" applyFont="1" applyFill="1" applyBorder="1" applyAlignment="1">
      <alignment horizontal="center" vertical="center"/>
    </xf>
    <xf numFmtId="0" fontId="1" fillId="19" borderId="8" xfId="0" applyFont="1" applyFill="1" applyBorder="1" applyAlignment="1">
      <alignment horizontal="left" vertical="center"/>
    </xf>
    <xf numFmtId="0" fontId="0" fillId="19" borderId="9" xfId="0" applyFill="1" applyBorder="1" applyAlignment="1">
      <alignment horizontal="center" vertical="center"/>
    </xf>
    <xf numFmtId="9" fontId="5" fillId="19" borderId="8" xfId="0" applyNumberFormat="1" applyFont="1" applyFill="1" applyBorder="1" applyAlignment="1">
      <alignment horizontal="center" vertical="center"/>
    </xf>
    <xf numFmtId="3" fontId="4" fillId="19" borderId="1" xfId="0" applyNumberFormat="1" applyFont="1" applyFill="1" applyBorder="1" applyAlignment="1">
      <alignment horizontal="center" vertical="center"/>
    </xf>
    <xf numFmtId="0" fontId="0" fillId="19" borderId="1" xfId="0" applyFill="1" applyBorder="1" applyAlignment="1">
      <alignment horizontal="center" vertical="center"/>
    </xf>
    <xf numFmtId="3" fontId="5" fillId="19" borderId="9" xfId="0" applyNumberFormat="1" applyFont="1" applyFill="1" applyBorder="1" applyAlignment="1">
      <alignment horizontal="center" vertical="center"/>
    </xf>
    <xf numFmtId="3" fontId="5" fillId="19" borderId="1" xfId="0" applyNumberFormat="1" applyFont="1" applyFill="1" applyBorder="1" applyAlignment="1">
      <alignment horizontal="center" vertical="center"/>
    </xf>
    <xf numFmtId="3" fontId="0" fillId="19" borderId="9" xfId="0" applyNumberFormat="1" applyFill="1" applyBorder="1" applyAlignment="1">
      <alignment horizontal="center" vertical="center"/>
    </xf>
    <xf numFmtId="3" fontId="0" fillId="19" borderId="1" xfId="0" applyNumberFormat="1" applyFill="1" applyBorder="1" applyAlignment="1">
      <alignment horizontal="center" vertical="center"/>
    </xf>
    <xf numFmtId="10" fontId="0" fillId="19" borderId="9" xfId="0" applyNumberFormat="1" applyFill="1" applyBorder="1" applyAlignment="1">
      <alignment horizontal="center" vertical="center"/>
    </xf>
    <xf numFmtId="3" fontId="1" fillId="19" borderId="12" xfId="0" applyNumberFormat="1" applyFont="1" applyFill="1" applyBorder="1" applyAlignment="1">
      <alignment horizontal="center" vertical="center"/>
    </xf>
    <xf numFmtId="0" fontId="1" fillId="24" borderId="0" xfId="0" applyFont="1" applyFill="1" applyAlignment="1">
      <alignment vertical="center"/>
    </xf>
    <xf numFmtId="9" fontId="0" fillId="24" borderId="0" xfId="0" applyNumberFormat="1" applyFill="1" applyAlignment="1">
      <alignment vertical="center"/>
    </xf>
    <xf numFmtId="0" fontId="0" fillId="24" borderId="0" xfId="0" applyFill="1" applyAlignment="1">
      <alignment vertical="center"/>
    </xf>
    <xf numFmtId="0" fontId="5" fillId="24" borderId="0" xfId="0" applyFont="1" applyFill="1" applyAlignment="1">
      <alignment vertical="center"/>
    </xf>
    <xf numFmtId="0" fontId="0" fillId="24" borderId="1" xfId="0" applyFill="1" applyBorder="1" applyAlignment="1">
      <alignment vertical="center"/>
    </xf>
    <xf numFmtId="0" fontId="4" fillId="24" borderId="0" xfId="0" applyFont="1" applyFill="1" applyAlignment="1">
      <alignment horizontal="center" vertical="center" wrapText="1"/>
    </xf>
    <xf numFmtId="10" fontId="0" fillId="24" borderId="0" xfId="0" applyNumberFormat="1" applyFill="1" applyAlignment="1">
      <alignment vertical="center"/>
    </xf>
    <xf numFmtId="3" fontId="5" fillId="19" borderId="0" xfId="0" applyNumberFormat="1" applyFont="1" applyFill="1" applyAlignment="1">
      <alignment horizontal="center" vertical="center" wrapText="1"/>
    </xf>
    <xf numFmtId="3" fontId="5" fillId="5" borderId="0" xfId="0" applyNumberFormat="1" applyFont="1" applyFill="1" applyAlignment="1">
      <alignment horizontal="center" vertical="center" wrapText="1"/>
    </xf>
    <xf numFmtId="3" fontId="5" fillId="18" borderId="0" xfId="0" applyNumberFormat="1" applyFont="1" applyFill="1" applyAlignment="1">
      <alignment horizontal="center" vertical="center" wrapText="1"/>
    </xf>
    <xf numFmtId="3" fontId="5" fillId="0" borderId="1" xfId="0" applyNumberFormat="1" applyFont="1" applyBorder="1" applyAlignment="1">
      <alignment vertical="center"/>
    </xf>
    <xf numFmtId="3" fontId="5" fillId="5" borderId="1" xfId="0" applyNumberFormat="1" applyFont="1" applyFill="1" applyBorder="1" applyAlignment="1">
      <alignment horizontal="center" vertical="center" wrapText="1"/>
    </xf>
    <xf numFmtId="10" fontId="1" fillId="24" borderId="0" xfId="0" applyNumberFormat="1" applyFont="1" applyFill="1" applyAlignment="1">
      <alignment vertical="center"/>
    </xf>
    <xf numFmtId="3" fontId="4" fillId="5" borderId="0" xfId="0" applyNumberFormat="1" applyFont="1" applyFill="1" applyAlignment="1">
      <alignment horizontal="center" vertical="center" wrapText="1"/>
    </xf>
    <xf numFmtId="3" fontId="4" fillId="18" borderId="0" xfId="0" applyNumberFormat="1" applyFont="1" applyFill="1" applyAlignment="1">
      <alignment horizontal="center" vertical="center" wrapText="1"/>
    </xf>
    <xf numFmtId="0" fontId="4" fillId="15" borderId="0" xfId="0" applyFont="1" applyFill="1" applyAlignment="1">
      <alignment vertical="center"/>
    </xf>
    <xf numFmtId="3" fontId="1" fillId="15" borderId="0" xfId="0" applyNumberFormat="1" applyFont="1" applyFill="1" applyAlignment="1">
      <alignment vertical="center"/>
    </xf>
    <xf numFmtId="3" fontId="4" fillId="5" borderId="0" xfId="0" applyNumberFormat="1" applyFont="1" applyFill="1" applyAlignment="1">
      <alignment horizontal="right" vertical="center" wrapText="1"/>
    </xf>
    <xf numFmtId="10" fontId="0" fillId="15" borderId="0" xfId="0" applyNumberFormat="1" applyFill="1" applyAlignment="1">
      <alignment vertical="center"/>
    </xf>
    <xf numFmtId="10" fontId="4" fillId="15" borderId="0" xfId="0" applyNumberFormat="1" applyFont="1" applyFill="1" applyAlignment="1">
      <alignment vertical="center"/>
    </xf>
    <xf numFmtId="10" fontId="0" fillId="15" borderId="1" xfId="0" applyNumberFormat="1" applyFill="1" applyBorder="1" applyAlignment="1">
      <alignment vertical="center"/>
    </xf>
    <xf numFmtId="0" fontId="1" fillId="15" borderId="0" xfId="0" applyFont="1" applyFill="1" applyAlignment="1">
      <alignment horizontal="center" vertical="center" wrapText="1"/>
    </xf>
    <xf numFmtId="0" fontId="19" fillId="0" borderId="8" xfId="0" applyFont="1" applyBorder="1" applyAlignment="1">
      <alignment horizontal="right" vertical="center"/>
    </xf>
    <xf numFmtId="10" fontId="19" fillId="0" borderId="9" xfId="0" applyNumberFormat="1" applyFont="1" applyBorder="1" applyAlignment="1">
      <alignment horizontal="right" vertical="center"/>
    </xf>
    <xf numFmtId="0" fontId="19" fillId="0" borderId="1" xfId="0" applyFont="1" applyBorder="1" applyAlignment="1">
      <alignment horizontal="right" vertical="center"/>
    </xf>
    <xf numFmtId="164" fontId="19" fillId="0" borderId="9" xfId="0" applyNumberFormat="1" applyFont="1" applyBorder="1" applyAlignment="1">
      <alignment vertical="center"/>
    </xf>
    <xf numFmtId="0" fontId="19" fillId="0" borderId="1" xfId="0" applyFont="1" applyBorder="1" applyAlignment="1">
      <alignment vertical="center"/>
    </xf>
    <xf numFmtId="9" fontId="19" fillId="0" borderId="1" xfId="0" applyNumberFormat="1" applyFont="1" applyBorder="1" applyAlignment="1">
      <alignment vertical="center"/>
    </xf>
    <xf numFmtId="0" fontId="17" fillId="0" borderId="14" xfId="0" applyFont="1" applyBorder="1" applyAlignment="1">
      <alignment horizontal="center" vertical="center" wrapText="1"/>
    </xf>
    <xf numFmtId="9" fontId="7" fillId="0" borderId="14" xfId="0" applyNumberFormat="1" applyFont="1" applyBorder="1" applyAlignment="1">
      <alignment horizontal="center" vertical="center"/>
    </xf>
    <xf numFmtId="0" fontId="7" fillId="0" borderId="14" xfId="0" applyFont="1" applyBorder="1" applyAlignment="1">
      <alignment horizontal="center" vertical="center" wrapText="1"/>
    </xf>
    <xf numFmtId="165" fontId="11" fillId="0" borderId="0" xfId="0" applyNumberFormat="1" applyFont="1" applyAlignment="1">
      <alignment vertical="center"/>
    </xf>
    <xf numFmtId="0" fontId="1" fillId="15" borderId="0" xfId="0" applyFont="1" applyFill="1" applyAlignment="1">
      <alignment horizontal="right" vertical="center"/>
    </xf>
    <xf numFmtId="10" fontId="1" fillId="15" borderId="0" xfId="0" applyNumberFormat="1" applyFont="1" applyFill="1" applyAlignment="1">
      <alignment vertical="center"/>
    </xf>
    <xf numFmtId="0" fontId="1" fillId="15" borderId="0" xfId="0" applyFont="1" applyFill="1" applyAlignment="1">
      <alignment horizontal="right" vertical="center" wrapText="1"/>
    </xf>
    <xf numFmtId="0" fontId="0" fillId="15" borderId="0" xfId="0" applyFill="1" applyAlignment="1">
      <alignment horizontal="right" vertical="center"/>
    </xf>
    <xf numFmtId="0" fontId="0" fillId="15" borderId="1" xfId="0" applyFill="1" applyBorder="1" applyAlignment="1">
      <alignment horizontal="right" vertical="center"/>
    </xf>
    <xf numFmtId="170" fontId="5" fillId="25" borderId="0" xfId="0" applyNumberFormat="1" applyFont="1" applyFill="1" applyAlignment="1">
      <alignment vertical="center"/>
    </xf>
    <xf numFmtId="164" fontId="5" fillId="25" borderId="0" xfId="0" applyNumberFormat="1" applyFont="1" applyFill="1" applyAlignment="1">
      <alignment horizontal="right" vertical="center" wrapText="1"/>
    </xf>
    <xf numFmtId="3" fontId="25" fillId="13" borderId="0" xfId="0" applyNumberFormat="1" applyFont="1" applyFill="1" applyAlignment="1">
      <alignment vertical="center"/>
    </xf>
    <xf numFmtId="0" fontId="26" fillId="13" borderId="0" xfId="0" applyFont="1" applyFill="1" applyAlignment="1">
      <alignment vertical="center"/>
    </xf>
    <xf numFmtId="3" fontId="26" fillId="13" borderId="0" xfId="0" applyNumberFormat="1" applyFont="1" applyFill="1" applyAlignment="1">
      <alignment vertical="center"/>
    </xf>
    <xf numFmtId="0" fontId="25" fillId="13" borderId="0" xfId="0" applyFont="1" applyFill="1" applyAlignment="1">
      <alignment horizontal="center" vertical="center" wrapText="1"/>
    </xf>
    <xf numFmtId="165" fontId="5" fillId="13" borderId="0" xfId="0" applyNumberFormat="1" applyFont="1" applyFill="1" applyAlignment="1">
      <alignment vertical="center"/>
    </xf>
    <xf numFmtId="165" fontId="5" fillId="13" borderId="1" xfId="0" applyNumberFormat="1" applyFont="1" applyFill="1" applyBorder="1" applyAlignment="1">
      <alignment vertical="center"/>
    </xf>
    <xf numFmtId="165" fontId="4" fillId="13" borderId="0" xfId="0" applyNumberFormat="1" applyFont="1" applyFill="1" applyAlignment="1">
      <alignment vertical="center"/>
    </xf>
    <xf numFmtId="165" fontId="4" fillId="0" borderId="0" xfId="0" applyNumberFormat="1" applyFont="1" applyAlignment="1">
      <alignment vertical="center"/>
    </xf>
    <xf numFmtId="170" fontId="5" fillId="0" borderId="0" xfId="0" applyNumberFormat="1" applyFont="1" applyAlignment="1">
      <alignment vertical="center"/>
    </xf>
    <xf numFmtId="164" fontId="5" fillId="0" borderId="0" xfId="0" applyNumberFormat="1" applyFont="1" applyAlignment="1">
      <alignment horizontal="right" vertical="center" wrapText="1"/>
    </xf>
    <xf numFmtId="0" fontId="0" fillId="15" borderId="1" xfId="0" applyFill="1" applyBorder="1" applyAlignment="1">
      <alignment vertical="center"/>
    </xf>
    <xf numFmtId="3" fontId="5" fillId="15" borderId="1" xfId="0" applyNumberFormat="1" applyFont="1" applyFill="1" applyBorder="1" applyAlignment="1">
      <alignment vertical="center"/>
    </xf>
    <xf numFmtId="0" fontId="6" fillId="19" borderId="0" xfId="0" applyFont="1" applyFill="1" applyAlignment="1">
      <alignment horizontal="left" vertical="center" wrapText="1"/>
    </xf>
    <xf numFmtId="0" fontId="7" fillId="19" borderId="0" xfId="0" applyFont="1" applyFill="1" applyAlignment="1">
      <alignment vertical="center"/>
    </xf>
    <xf numFmtId="169" fontId="7" fillId="19" borderId="0" xfId="0" applyNumberFormat="1" applyFont="1" applyFill="1" applyAlignment="1">
      <alignment vertical="center"/>
    </xf>
    <xf numFmtId="3" fontId="6" fillId="19" borderId="0" xfId="0" applyNumberFormat="1" applyFont="1" applyFill="1" applyAlignment="1">
      <alignment vertical="center"/>
    </xf>
    <xf numFmtId="0" fontId="27" fillId="16" borderId="0" xfId="0" applyFont="1" applyFill="1" applyAlignment="1">
      <alignment vertical="center"/>
    </xf>
    <xf numFmtId="0" fontId="27" fillId="16" borderId="10" xfId="0" applyFont="1" applyFill="1" applyBorder="1" applyAlignment="1">
      <alignment vertical="center"/>
    </xf>
    <xf numFmtId="0" fontId="27" fillId="16" borderId="0" xfId="0" applyFont="1" applyFill="1" applyAlignment="1">
      <alignment horizontal="right" vertical="center"/>
    </xf>
    <xf numFmtId="0" fontId="27" fillId="16" borderId="10" xfId="0" applyFont="1" applyFill="1" applyBorder="1" applyAlignment="1">
      <alignment horizontal="center" vertical="center" wrapText="1"/>
    </xf>
    <xf numFmtId="0" fontId="27" fillId="16" borderId="0" xfId="0" applyFont="1" applyFill="1" applyAlignment="1">
      <alignment horizontal="right" vertical="center" wrapText="1"/>
    </xf>
    <xf numFmtId="0" fontId="27" fillId="16" borderId="0" xfId="0" applyFont="1" applyFill="1" applyAlignment="1">
      <alignment horizontal="center" vertical="center" wrapText="1"/>
    </xf>
    <xf numFmtId="0" fontId="27" fillId="16" borderId="11" xfId="0" applyFont="1" applyFill="1" applyBorder="1" applyAlignment="1">
      <alignment horizontal="center" vertical="center" wrapText="1"/>
    </xf>
    <xf numFmtId="0" fontId="5" fillId="16" borderId="10" xfId="0" applyFont="1" applyFill="1" applyBorder="1" applyAlignment="1">
      <alignment vertical="center"/>
    </xf>
    <xf numFmtId="0" fontId="5" fillId="16" borderId="0" xfId="0" applyFont="1" applyFill="1" applyAlignment="1">
      <alignment horizontal="right" vertical="center"/>
    </xf>
    <xf numFmtId="164" fontId="5" fillId="16" borderId="10" xfId="0" applyNumberFormat="1" applyFont="1" applyFill="1" applyBorder="1" applyAlignment="1">
      <alignment vertical="center"/>
    </xf>
    <xf numFmtId="165" fontId="5" fillId="16" borderId="0" xfId="0" applyNumberFormat="1" applyFont="1" applyFill="1" applyAlignment="1">
      <alignment vertical="center"/>
    </xf>
    <xf numFmtId="9" fontId="5" fillId="16" borderId="0" xfId="0" applyNumberFormat="1" applyFont="1" applyFill="1" applyAlignment="1">
      <alignment vertical="center"/>
    </xf>
    <xf numFmtId="0" fontId="5" fillId="16" borderId="0" xfId="0" applyFont="1" applyFill="1" applyAlignment="1">
      <alignment vertical="center"/>
    </xf>
    <xf numFmtId="0" fontId="5" fillId="16" borderId="8" xfId="0" applyFont="1" applyFill="1" applyBorder="1" applyAlignment="1">
      <alignment vertical="center"/>
    </xf>
    <xf numFmtId="0" fontId="5" fillId="16" borderId="1" xfId="0" applyFont="1" applyFill="1" applyBorder="1" applyAlignment="1">
      <alignment horizontal="right" vertical="center"/>
    </xf>
    <xf numFmtId="0" fontId="4" fillId="16" borderId="0" xfId="0" applyFont="1" applyFill="1" applyAlignment="1">
      <alignment vertical="center"/>
    </xf>
    <xf numFmtId="0" fontId="4" fillId="16" borderId="0" xfId="0" applyFont="1" applyFill="1" applyAlignment="1">
      <alignment horizontal="right" vertical="center"/>
    </xf>
    <xf numFmtId="0" fontId="4" fillId="16" borderId="8" xfId="0" applyFont="1" applyFill="1" applyBorder="1" applyAlignment="1">
      <alignment vertical="center"/>
    </xf>
    <xf numFmtId="165" fontId="4" fillId="16" borderId="1" xfId="0" applyNumberFormat="1" applyFont="1" applyFill="1" applyBorder="1" applyAlignment="1">
      <alignment vertical="center"/>
    </xf>
    <xf numFmtId="9" fontId="4" fillId="16" borderId="1" xfId="0" applyNumberFormat="1" applyFont="1" applyFill="1" applyBorder="1" applyAlignment="1">
      <alignment vertical="center"/>
    </xf>
    <xf numFmtId="3" fontId="5" fillId="16" borderId="11" xfId="0" applyNumberFormat="1" applyFont="1" applyFill="1" applyBorder="1" applyAlignment="1">
      <alignment vertical="center"/>
    </xf>
    <xf numFmtId="3" fontId="4" fillId="16" borderId="9" xfId="0" applyNumberFormat="1" applyFont="1" applyFill="1" applyBorder="1" applyAlignment="1">
      <alignment vertical="center"/>
    </xf>
    <xf numFmtId="164" fontId="13" fillId="0" borderId="0" xfId="0" applyNumberFormat="1" applyFont="1" applyAlignment="1">
      <alignment vertical="center"/>
    </xf>
    <xf numFmtId="0" fontId="25" fillId="0" borderId="0" xfId="0" applyFont="1" applyAlignment="1">
      <alignmen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26" fillId="0" borderId="0" xfId="0" applyFont="1" applyAlignment="1">
      <alignment vertical="center"/>
    </xf>
    <xf numFmtId="164" fontId="5" fillId="0" borderId="0" xfId="0" applyNumberFormat="1" applyFont="1" applyAlignment="1">
      <alignment vertical="center"/>
    </xf>
    <xf numFmtId="167" fontId="5" fillId="0" borderId="0" xfId="0" applyNumberFormat="1" applyFont="1" applyAlignment="1">
      <alignment vertical="center"/>
    </xf>
    <xf numFmtId="168" fontId="5" fillId="0" borderId="0" xfId="0" applyNumberFormat="1" applyFont="1" applyAlignment="1">
      <alignment vertical="center"/>
    </xf>
    <xf numFmtId="0" fontId="27" fillId="0" borderId="0" xfId="0" applyFont="1" applyAlignment="1">
      <alignment vertical="center"/>
    </xf>
    <xf numFmtId="0" fontId="25" fillId="13" borderId="0" xfId="0" applyFont="1" applyFill="1" applyAlignment="1">
      <alignment horizontal="left" vertical="center" wrapText="1"/>
    </xf>
    <xf numFmtId="10" fontId="25" fillId="13" borderId="0" xfId="0" applyNumberFormat="1" applyFont="1" applyFill="1" applyAlignment="1">
      <alignment vertical="center"/>
    </xf>
    <xf numFmtId="0" fontId="25" fillId="13" borderId="0" xfId="0" applyFont="1" applyFill="1" applyAlignment="1">
      <alignment vertical="center"/>
    </xf>
    <xf numFmtId="0" fontId="25" fillId="13" borderId="0" xfId="0" applyFont="1" applyFill="1" applyAlignment="1">
      <alignment horizontal="right" vertical="center" wrapText="1"/>
    </xf>
    <xf numFmtId="0" fontId="5" fillId="13" borderId="0" xfId="0" applyFont="1" applyFill="1" applyAlignment="1">
      <alignment horizontal="right" vertical="center"/>
    </xf>
    <xf numFmtId="164" fontId="5" fillId="13" borderId="0" xfId="0" applyNumberFormat="1" applyFont="1" applyFill="1" applyAlignment="1">
      <alignment vertical="center"/>
    </xf>
    <xf numFmtId="3" fontId="5" fillId="13" borderId="0" xfId="0" applyNumberFormat="1" applyFont="1" applyFill="1" applyAlignment="1">
      <alignment vertical="center"/>
    </xf>
    <xf numFmtId="9" fontId="5" fillId="13" borderId="0" xfId="0" applyNumberFormat="1" applyFont="1" applyFill="1" applyAlignment="1">
      <alignment vertical="center"/>
    </xf>
    <xf numFmtId="0" fontId="5" fillId="13" borderId="0" xfId="0" applyFont="1" applyFill="1" applyAlignment="1">
      <alignment vertical="center"/>
    </xf>
    <xf numFmtId="0" fontId="5" fillId="13" borderId="1" xfId="0" applyFont="1" applyFill="1" applyBorder="1" applyAlignment="1">
      <alignment horizontal="right" vertical="center"/>
    </xf>
    <xf numFmtId="9" fontId="5" fillId="13" borderId="1" xfId="0" applyNumberFormat="1" applyFont="1" applyFill="1" applyBorder="1" applyAlignment="1">
      <alignment vertical="center"/>
    </xf>
    <xf numFmtId="0" fontId="4" fillId="13" borderId="0" xfId="0" applyFont="1" applyFill="1" applyAlignment="1">
      <alignment horizontal="right" vertical="center"/>
    </xf>
    <xf numFmtId="164" fontId="4" fillId="13" borderId="0" xfId="0" applyNumberFormat="1" applyFont="1" applyFill="1" applyAlignment="1">
      <alignment vertical="center"/>
    </xf>
    <xf numFmtId="3" fontId="4" fillId="13" borderId="0" xfId="0" applyNumberFormat="1" applyFont="1" applyFill="1" applyAlignment="1">
      <alignment vertical="center"/>
    </xf>
    <xf numFmtId="9" fontId="4" fillId="13" borderId="0" xfId="0" applyNumberFormat="1" applyFont="1" applyFill="1" applyAlignment="1">
      <alignment vertical="center"/>
    </xf>
    <xf numFmtId="164" fontId="4" fillId="0" borderId="0" xfId="0" applyNumberFormat="1" applyFont="1" applyAlignment="1">
      <alignment vertical="center"/>
    </xf>
    <xf numFmtId="9" fontId="4" fillId="0" borderId="0" xfId="0" applyNumberFormat="1" applyFont="1" applyAlignment="1">
      <alignment vertical="center"/>
    </xf>
    <xf numFmtId="0" fontId="4" fillId="25" borderId="0" xfId="0" applyFont="1" applyFill="1" applyAlignment="1">
      <alignment horizontal="right" vertical="center"/>
    </xf>
    <xf numFmtId="0" fontId="5" fillId="25" borderId="0" xfId="0" applyFont="1" applyFill="1" applyAlignment="1">
      <alignment vertical="center"/>
    </xf>
    <xf numFmtId="0" fontId="4" fillId="25" borderId="0" xfId="0" applyFont="1" applyFill="1" applyAlignment="1">
      <alignment horizontal="center" vertical="center" wrapText="1"/>
    </xf>
    <xf numFmtId="0" fontId="4" fillId="25" borderId="0" xfId="0" applyFont="1" applyFill="1" applyAlignment="1">
      <alignment horizontal="center" vertical="center"/>
    </xf>
    <xf numFmtId="0" fontId="5" fillId="25" borderId="0" xfId="0" applyFont="1" applyFill="1" applyAlignment="1">
      <alignment horizontal="right" vertical="center"/>
    </xf>
    <xf numFmtId="168" fontId="5" fillId="25" borderId="0" xfId="0" applyNumberFormat="1" applyFont="1" applyFill="1" applyAlignment="1">
      <alignment vertical="center"/>
    </xf>
    <xf numFmtId="0" fontId="5" fillId="0" borderId="0" xfId="0" applyFont="1" applyAlignment="1">
      <alignment horizontal="right" vertical="center"/>
    </xf>
    <xf numFmtId="0" fontId="4" fillId="0" borderId="0" xfId="0" applyFont="1" applyAlignment="1">
      <alignment horizontal="right" vertical="center" wrapText="1"/>
    </xf>
    <xf numFmtId="164" fontId="4" fillId="0" borderId="0" xfId="0" applyNumberFormat="1" applyFont="1" applyAlignment="1">
      <alignment horizontal="center" vertical="center"/>
    </xf>
    <xf numFmtId="0" fontId="5" fillId="0" borderId="1" xfId="0" applyFont="1" applyBorder="1" applyAlignment="1">
      <alignment horizontal="right" vertical="center"/>
    </xf>
    <xf numFmtId="165" fontId="5" fillId="0" borderId="1" xfId="0" applyNumberFormat="1" applyFont="1" applyBorder="1" applyAlignment="1">
      <alignment vertical="center"/>
    </xf>
    <xf numFmtId="3" fontId="5" fillId="16" borderId="9" xfId="0" applyNumberFormat="1" applyFont="1" applyFill="1" applyBorder="1" applyAlignment="1">
      <alignment vertical="center"/>
    </xf>
    <xf numFmtId="165" fontId="5" fillId="16" borderId="1" xfId="0" applyNumberFormat="1" applyFont="1" applyFill="1" applyBorder="1" applyAlignment="1">
      <alignment vertical="center"/>
    </xf>
    <xf numFmtId="9" fontId="5" fillId="16" borderId="1" xfId="0" applyNumberFormat="1" applyFont="1" applyFill="1" applyBorder="1" applyAlignment="1">
      <alignment vertical="center"/>
    </xf>
    <xf numFmtId="0" fontId="27" fillId="16" borderId="2" xfId="0" applyFont="1" applyFill="1" applyBorder="1" applyAlignment="1">
      <alignment vertical="center"/>
    </xf>
    <xf numFmtId="0" fontId="27" fillId="16" borderId="3" xfId="0" applyFont="1" applyFill="1" applyBorder="1" applyAlignment="1">
      <alignment horizontal="right" vertical="center"/>
    </xf>
    <xf numFmtId="169" fontId="6" fillId="19" borderId="0" xfId="0" applyNumberFormat="1" applyFont="1" applyFill="1" applyAlignment="1">
      <alignment vertical="center"/>
    </xf>
    <xf numFmtId="3" fontId="7" fillId="19" borderId="0" xfId="0" applyNumberFormat="1" applyFont="1" applyFill="1" applyAlignment="1">
      <alignment vertical="center" wrapText="1"/>
    </xf>
    <xf numFmtId="165" fontId="0" fillId="0" borderId="1" xfId="0" applyNumberFormat="1" applyBorder="1" applyAlignment="1">
      <alignment vertical="center"/>
    </xf>
    <xf numFmtId="0" fontId="0" fillId="0" borderId="1" xfId="0" applyBorder="1" applyAlignment="1">
      <alignment vertical="center"/>
    </xf>
    <xf numFmtId="0" fontId="1" fillId="0" borderId="0" xfId="0" applyFont="1" applyAlignment="1">
      <alignment vertical="center" wrapText="1"/>
    </xf>
    <xf numFmtId="164" fontId="0" fillId="13" borderId="14" xfId="0" applyNumberFormat="1" applyFill="1" applyBorder="1" applyAlignment="1">
      <alignment vertical="center"/>
    </xf>
    <xf numFmtId="164" fontId="0" fillId="0" borderId="14" xfId="0" applyNumberFormat="1" applyBorder="1" applyAlignment="1">
      <alignment vertical="center"/>
    </xf>
    <xf numFmtId="0" fontId="0" fillId="13" borderId="14" xfId="0" applyFill="1" applyBorder="1" applyAlignment="1">
      <alignment horizontal="center" vertical="center"/>
    </xf>
    <xf numFmtId="0" fontId="6" fillId="13" borderId="14" xfId="0" applyFont="1" applyFill="1" applyBorder="1" applyAlignment="1">
      <alignment vertical="center"/>
    </xf>
    <xf numFmtId="164" fontId="7" fillId="13" borderId="14" xfId="0" applyNumberFormat="1" applyFont="1" applyFill="1" applyBorder="1" applyAlignment="1">
      <alignment horizontal="center" vertical="center"/>
    </xf>
    <xf numFmtId="0" fontId="17" fillId="0" borderId="14" xfId="0" applyFont="1" applyBorder="1" applyAlignment="1">
      <alignment horizontal="center" vertical="center" wrapText="1"/>
    </xf>
    <xf numFmtId="165" fontId="7" fillId="0" borderId="14" xfId="0" applyNumberFormat="1" applyFont="1" applyBorder="1" applyAlignment="1">
      <alignment horizontal="center" vertical="center"/>
    </xf>
    <xf numFmtId="0" fontId="25" fillId="13" borderId="4" xfId="0" applyFont="1" applyFill="1" applyBorder="1" applyAlignment="1">
      <alignment horizontal="center" vertical="center" wrapText="1"/>
    </xf>
    <xf numFmtId="0" fontId="25" fillId="13" borderId="5" xfId="0" applyFont="1" applyFill="1" applyBorder="1" applyAlignment="1">
      <alignment horizontal="center" vertical="center" wrapText="1"/>
    </xf>
    <xf numFmtId="0" fontId="25" fillId="13" borderId="6" xfId="0" applyFont="1" applyFill="1" applyBorder="1" applyAlignment="1">
      <alignment horizontal="center" vertical="center" wrapText="1"/>
    </xf>
    <xf numFmtId="3" fontId="25" fillId="13" borderId="0" xfId="0" applyNumberFormat="1" applyFont="1" applyFill="1" applyAlignment="1">
      <alignment horizontal="center" vertical="center"/>
    </xf>
    <xf numFmtId="0" fontId="25" fillId="13" borderId="0" xfId="0" applyFont="1" applyFill="1" applyAlignment="1">
      <alignment horizontal="center" vertical="center" wrapText="1"/>
    </xf>
    <xf numFmtId="0" fontId="27" fillId="16" borderId="2" xfId="0" applyFont="1" applyFill="1" applyBorder="1" applyAlignment="1">
      <alignment horizontal="center" vertical="center"/>
    </xf>
    <xf numFmtId="0" fontId="27" fillId="16" borderId="3" xfId="0" applyFont="1" applyFill="1" applyBorder="1" applyAlignment="1">
      <alignment horizontal="center" vertical="center"/>
    </xf>
    <xf numFmtId="0" fontId="27" fillId="16" borderId="15" xfId="0" applyFont="1" applyFill="1" applyBorder="1" applyAlignment="1">
      <alignment horizontal="center" vertical="center"/>
    </xf>
    <xf numFmtId="0" fontId="1" fillId="15" borderId="0" xfId="0" applyFont="1" applyFill="1" applyAlignment="1">
      <alignment horizontal="center" vertical="center" wrapText="1"/>
    </xf>
    <xf numFmtId="0" fontId="4" fillId="15" borderId="4"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24" borderId="0" xfId="0" applyFont="1" applyFill="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0" xfId="0" applyFont="1" applyFill="1" applyAlignment="1">
      <alignment horizontal="center" vertical="center" wrapText="1"/>
    </xf>
    <xf numFmtId="3" fontId="13" fillId="19" borderId="10" xfId="0" applyNumberFormat="1" applyFont="1" applyFill="1" applyBorder="1" applyAlignment="1">
      <alignment horizontal="center" vertical="center" wrapText="1"/>
    </xf>
    <xf numFmtId="3" fontId="13" fillId="19" borderId="11" xfId="0" applyNumberFormat="1"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3" fontId="4" fillId="15" borderId="0" xfId="0" applyNumberFormat="1" applyFont="1" applyFill="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7" borderId="4" xfId="0" applyFont="1" applyFill="1" applyBorder="1" applyAlignment="1">
      <alignment horizontal="center" vertical="center" wrapText="1"/>
    </xf>
    <xf numFmtId="0" fontId="6" fillId="17" borderId="5"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2" fillId="0" borderId="0" xfId="0" applyFont="1" applyAlignment="1">
      <alignment horizontal="left" vertical="center" wrapText="1"/>
    </xf>
    <xf numFmtId="0" fontId="7" fillId="0" borderId="0" xfId="0" applyFont="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8" fillId="0" borderId="0" xfId="0" applyFont="1" applyAlignment="1">
      <alignment horizontal="center" vertical="center" wrapText="1"/>
    </xf>
    <xf numFmtId="0" fontId="7" fillId="0" borderId="10" xfId="0" applyFont="1" applyBorder="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4" fillId="0" borderId="2" xfId="0" applyFont="1" applyBorder="1" applyAlignment="1">
      <alignment horizontal="left" vertical="center"/>
    </xf>
    <xf numFmtId="0" fontId="14" fillId="0" borderId="15" xfId="0" applyFont="1" applyBorder="1" applyAlignment="1">
      <alignment horizontal="lef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22" borderId="10" xfId="0" applyFont="1" applyFill="1" applyBorder="1" applyAlignment="1">
      <alignment horizontal="left" vertical="center" wrapText="1"/>
    </xf>
    <xf numFmtId="0" fontId="4" fillId="22" borderId="11" xfId="0" applyFont="1" applyFill="1" applyBorder="1" applyAlignment="1">
      <alignment horizontal="left" vertical="center" wrapText="1"/>
    </xf>
    <xf numFmtId="0" fontId="19"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CEF4C8"/>
      <color rgb="FFF8CAAE"/>
      <color rgb="FFFFFFFF"/>
      <color rgb="FFFFFF66"/>
      <color rgb="FFCCFF33"/>
      <color rgb="FF00FF99"/>
      <color rgb="FFE0FA5C"/>
      <color rgb="FF00C459"/>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eetMetadata" Target="metadata.xml"/><Relationship Id="rId30" Type="http://schemas.microsoft.com/office/2017/06/relationships/rdRichValueStructure" Target="richData/rdrichvaluestructure.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'For pitch deck'!$A$4</c:f>
              <c:strCache>
                <c:ptCount val="1"/>
                <c:pt idx="0">
                  <c:v>Advanced membership</c:v>
                </c:pt>
              </c:strCache>
            </c:strRef>
          </c:tx>
          <c:spPr>
            <a:solidFill>
              <a:schemeClr val="accent1"/>
            </a:solidFill>
            <a:ln>
              <a:noFill/>
            </a:ln>
            <a:effectLst/>
          </c:spPr>
          <c:invertIfNegative val="0"/>
          <c:cat>
            <c:strRef>
              <c:f>'For pitch deck'!$B$3:$F$3</c:f>
              <c:strCache>
                <c:ptCount val="5"/>
                <c:pt idx="0">
                  <c:v>Year 1</c:v>
                </c:pt>
                <c:pt idx="1">
                  <c:v>Year 2</c:v>
                </c:pt>
                <c:pt idx="2">
                  <c:v>Year 3</c:v>
                </c:pt>
                <c:pt idx="3">
                  <c:v>Year 4</c:v>
                </c:pt>
                <c:pt idx="4">
                  <c:v>Year 5</c:v>
                </c:pt>
              </c:strCache>
            </c:strRef>
          </c:cat>
          <c:val>
            <c:numRef>
              <c:f>'For pitch deck'!$B$4:$F$4</c:f>
              <c:numCache>
                <c:formatCode>"£"#,##0</c:formatCode>
                <c:ptCount val="5"/>
                <c:pt idx="0">
                  <c:v>47424.864686339672</c:v>
                </c:pt>
                <c:pt idx="1">
                  <c:v>116605.06798564094</c:v>
                </c:pt>
                <c:pt idx="2">
                  <c:v>237372.22728537864</c:v>
                </c:pt>
                <c:pt idx="3">
                  <c:v>425183.91254389921</c:v>
                </c:pt>
                <c:pt idx="4">
                  <c:v>692452.87372385676</c:v>
                </c:pt>
              </c:numCache>
            </c:numRef>
          </c:val>
          <c:extLst>
            <c:ext xmlns:c16="http://schemas.microsoft.com/office/drawing/2014/chart" uri="{C3380CC4-5D6E-409C-BE32-E72D297353CC}">
              <c16:uniqueId val="{00000000-F690-45A5-BD90-B515997130A9}"/>
            </c:ext>
          </c:extLst>
        </c:ser>
        <c:ser>
          <c:idx val="1"/>
          <c:order val="1"/>
          <c:tx>
            <c:strRef>
              <c:f>'For pitch deck'!$A$5</c:f>
              <c:strCache>
                <c:ptCount val="1"/>
                <c:pt idx="0">
                  <c:v>Premium membership</c:v>
                </c:pt>
              </c:strCache>
            </c:strRef>
          </c:tx>
          <c:spPr>
            <a:solidFill>
              <a:schemeClr val="accent2"/>
            </a:solidFill>
            <a:ln>
              <a:noFill/>
            </a:ln>
            <a:effectLst/>
          </c:spPr>
          <c:invertIfNegative val="0"/>
          <c:cat>
            <c:strRef>
              <c:f>'For pitch deck'!$B$3:$F$3</c:f>
              <c:strCache>
                <c:ptCount val="5"/>
                <c:pt idx="0">
                  <c:v>Year 1</c:v>
                </c:pt>
                <c:pt idx="1">
                  <c:v>Year 2</c:v>
                </c:pt>
                <c:pt idx="2">
                  <c:v>Year 3</c:v>
                </c:pt>
                <c:pt idx="3">
                  <c:v>Year 4</c:v>
                </c:pt>
                <c:pt idx="4">
                  <c:v>Year 5</c:v>
                </c:pt>
              </c:strCache>
            </c:strRef>
          </c:cat>
          <c:val>
            <c:numRef>
              <c:f>'For pitch deck'!$B$5:$F$5</c:f>
              <c:numCache>
                <c:formatCode>"£"#,##0</c:formatCode>
                <c:ptCount val="5"/>
                <c:pt idx="0">
                  <c:v>17267.711521571986</c:v>
                </c:pt>
                <c:pt idx="1">
                  <c:v>59959.238948041348</c:v>
                </c:pt>
                <c:pt idx="2">
                  <c:v>157057.9769748523</c:v>
                </c:pt>
                <c:pt idx="3">
                  <c:v>331974.16238248901</c:v>
                </c:pt>
                <c:pt idx="4">
                  <c:v>607771.75466906733</c:v>
                </c:pt>
              </c:numCache>
            </c:numRef>
          </c:val>
          <c:extLst>
            <c:ext xmlns:c16="http://schemas.microsoft.com/office/drawing/2014/chart" uri="{C3380CC4-5D6E-409C-BE32-E72D297353CC}">
              <c16:uniqueId val="{00000001-F690-45A5-BD90-B515997130A9}"/>
            </c:ext>
          </c:extLst>
        </c:ser>
        <c:ser>
          <c:idx val="2"/>
          <c:order val="2"/>
          <c:tx>
            <c:strRef>
              <c:f>'For pitch deck'!$A$6</c:f>
              <c:strCache>
                <c:ptCount val="1"/>
                <c:pt idx="0">
                  <c:v>ID verifications</c:v>
                </c:pt>
              </c:strCache>
            </c:strRef>
          </c:tx>
          <c:spPr>
            <a:solidFill>
              <a:schemeClr val="accent3"/>
            </a:solidFill>
            <a:ln>
              <a:noFill/>
            </a:ln>
            <a:effectLst/>
          </c:spPr>
          <c:invertIfNegative val="0"/>
          <c:cat>
            <c:strRef>
              <c:f>'For pitch deck'!$B$3:$F$3</c:f>
              <c:strCache>
                <c:ptCount val="5"/>
                <c:pt idx="0">
                  <c:v>Year 1</c:v>
                </c:pt>
                <c:pt idx="1">
                  <c:v>Year 2</c:v>
                </c:pt>
                <c:pt idx="2">
                  <c:v>Year 3</c:v>
                </c:pt>
                <c:pt idx="3">
                  <c:v>Year 4</c:v>
                </c:pt>
                <c:pt idx="4">
                  <c:v>Year 5</c:v>
                </c:pt>
              </c:strCache>
            </c:strRef>
          </c:cat>
          <c:val>
            <c:numRef>
              <c:f>'For pitch deck'!$B$6:$F$6</c:f>
              <c:numCache>
                <c:formatCode>"£"#,##0</c:formatCode>
                <c:ptCount val="5"/>
                <c:pt idx="0">
                  <c:v>5543.0999999999995</c:v>
                </c:pt>
                <c:pt idx="1">
                  <c:v>4906.3851670383792</c:v>
                </c:pt>
                <c:pt idx="2">
                  <c:v>7351.0076915525642</c:v>
                </c:pt>
                <c:pt idx="3">
                  <c:v>10039.642632883946</c:v>
                </c:pt>
                <c:pt idx="4">
                  <c:v>12418.629707846481</c:v>
                </c:pt>
              </c:numCache>
            </c:numRef>
          </c:val>
          <c:extLst>
            <c:ext xmlns:c16="http://schemas.microsoft.com/office/drawing/2014/chart" uri="{C3380CC4-5D6E-409C-BE32-E72D297353CC}">
              <c16:uniqueId val="{00000002-F690-45A5-BD90-B515997130A9}"/>
            </c:ext>
          </c:extLst>
        </c:ser>
        <c:dLbls>
          <c:showLegendKey val="0"/>
          <c:showVal val="0"/>
          <c:showCatName val="0"/>
          <c:showSerName val="0"/>
          <c:showPercent val="0"/>
          <c:showBubbleSize val="0"/>
        </c:dLbls>
        <c:gapWidth val="150"/>
        <c:overlap val="100"/>
        <c:axId val="1391318735"/>
        <c:axId val="1391317295"/>
      </c:barChart>
      <c:catAx>
        <c:axId val="139131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1317295"/>
        <c:crosses val="autoZero"/>
        <c:auto val="1"/>
        <c:lblAlgn val="ctr"/>
        <c:lblOffset val="100"/>
        <c:noMultiLvlLbl val="0"/>
      </c:catAx>
      <c:valAx>
        <c:axId val="139131729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131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Net profits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('For pitch deck'!$B$10,'For pitch deck'!$C$10,'For pitch deck'!$D$10,'For pitch deck'!$E$10,'For pitch deck'!$F$10)</c:f>
              <c:strCache>
                <c:ptCount val="5"/>
                <c:pt idx="0">
                  <c:v>Year 1</c:v>
                </c:pt>
                <c:pt idx="1">
                  <c:v>Year 2</c:v>
                </c:pt>
                <c:pt idx="2">
                  <c:v>Year 3</c:v>
                </c:pt>
                <c:pt idx="3">
                  <c:v>Year 4</c:v>
                </c:pt>
                <c:pt idx="4">
                  <c:v>Year 5</c:v>
                </c:pt>
              </c:strCache>
            </c:strRef>
          </c:cat>
          <c:val>
            <c:numRef>
              <c:f>('For pitch deck'!$B$11,'For pitch deck'!$C$11,'For pitch deck'!$D$11,'For pitch deck'!$E$11,'For pitch deck'!$F$11)</c:f>
              <c:numCache>
                <c:formatCode>"£"#,##0</c:formatCode>
                <c:ptCount val="5"/>
                <c:pt idx="0">
                  <c:v>-49412.393749549898</c:v>
                </c:pt>
                <c:pt idx="1">
                  <c:v>55890.176655406947</c:v>
                </c:pt>
                <c:pt idx="2">
                  <c:v>230953.66236024624</c:v>
                </c:pt>
                <c:pt idx="3">
                  <c:v>523415.42688584857</c:v>
                </c:pt>
                <c:pt idx="4">
                  <c:v>961703.35566358897</c:v>
                </c:pt>
              </c:numCache>
            </c:numRef>
          </c:val>
          <c:smooth val="0"/>
          <c:extLst>
            <c:ext xmlns:c16="http://schemas.microsoft.com/office/drawing/2014/chart" uri="{C3380CC4-5D6E-409C-BE32-E72D297353CC}">
              <c16:uniqueId val="{00000000-5806-46C6-8054-A27AAFB6BBA6}"/>
            </c:ext>
          </c:extLst>
        </c:ser>
        <c:dLbls>
          <c:showLegendKey val="0"/>
          <c:showVal val="0"/>
          <c:showCatName val="0"/>
          <c:showSerName val="0"/>
          <c:showPercent val="0"/>
          <c:showBubbleSize val="0"/>
        </c:dLbls>
        <c:smooth val="0"/>
        <c:axId val="837441408"/>
        <c:axId val="835160128"/>
      </c:lineChart>
      <c:catAx>
        <c:axId val="83744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160128"/>
        <c:crosses val="autoZero"/>
        <c:auto val="1"/>
        <c:lblAlgn val="ctr"/>
        <c:lblOffset val="100"/>
        <c:noMultiLvlLbl val="0"/>
      </c:catAx>
      <c:valAx>
        <c:axId val="8351601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74414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228600</xdr:colOff>
      <xdr:row>1</xdr:row>
      <xdr:rowOff>87630</xdr:rowOff>
    </xdr:from>
    <xdr:to>
      <xdr:col>15</xdr:col>
      <xdr:colOff>0</xdr:colOff>
      <xdr:row>9</xdr:row>
      <xdr:rowOff>236220</xdr:rowOff>
    </xdr:to>
    <xdr:graphicFrame macro="">
      <xdr:nvGraphicFramePr>
        <xdr:cNvPr id="3" name="Chart 2">
          <a:extLst>
            <a:ext uri="{FF2B5EF4-FFF2-40B4-BE49-F238E27FC236}">
              <a16:creationId xmlns:a16="http://schemas.microsoft.com/office/drawing/2014/main" id="{07DFFF23-41D8-20D0-5847-3020E030A8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243840</xdr:colOff>
      <xdr:row>10</xdr:row>
      <xdr:rowOff>152400</xdr:rowOff>
    </xdr:from>
    <xdr:to>
      <xdr:col>15</xdr:col>
      <xdr:colOff>7620</xdr:colOff>
      <xdr:row>19</xdr:row>
      <xdr:rowOff>194310</xdr:rowOff>
    </xdr:to>
    <xdr:graphicFrame macro="">
      <xdr:nvGraphicFramePr>
        <xdr:cNvPr id="7" name="Chart 6">
          <a:extLst>
            <a:ext uri="{FF2B5EF4-FFF2-40B4-BE49-F238E27FC236}">
              <a16:creationId xmlns:a16="http://schemas.microsoft.com/office/drawing/2014/main" id="{C54F7143-7623-7F57-C812-C2E87B1ECD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lessandro Bolasco" id="{F4EE865A-FDA3-4F99-A034-F4063E0142D2}" userId="280c5b9081705d68"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5-08-07T16:46:54.73" personId="{F4EE865A-FDA3-4F99-A034-F4063E0142D2}" id="{CCB5F8DA-1069-4C7D-9693-01054C79DBCF}">
    <text>Goods and Services Tax (18%)
It is calculated over the gross sales in the country; no minimum thresholds exemptions.
Monthly GST returns will have to be filed at the relevant Indian authorities.</text>
  </threadedComment>
</ThreadedComments>
</file>

<file path=xl/threadedComments/threadedComment2.xml><?xml version="1.0" encoding="utf-8"?>
<ThreadedComments xmlns="http://schemas.microsoft.com/office/spreadsheetml/2018/threadedcomments" xmlns:x="http://schemas.openxmlformats.org/spreadsheetml/2006/main">
  <threadedComment ref="A27" dT="2025-08-14T18:11:47.58" personId="{F4EE865A-FDA3-4F99-A034-F4063E0142D2}" id="{D6ACFDD7-1B61-4B16-B51D-1108864D403A}">
    <text xml:space="preserve">Based on previous on-site pre-registration ad campagins, we are forecasting a starting CPL (cost per lead) of around €33.33 (£28.89) over the first couple months in the UK. As FB algorithm refines targeting and re-targeting audiences the CPL is expected to considerably drop over months 3 and 4 to then slowly maintaining an average 2% monthly reduction. </text>
  </threadedComment>
  <threadedComment ref="A28" dT="2025-08-14T18:12:00.48" personId="{F4EE865A-FDA3-4F99-A034-F4063E0142D2}" id="{BDE94627-9D22-4EA3-BF62-FEF24870A149}">
    <text xml:space="preserve">Based on previous on-site pre-registration ad campagins, we are forecasting a starting CPL (cost per lead) of around €9.52 (£8.25) over the first couple months in the EEA. As FB algorithm refines targeting and re-targeting audiences the CPL is expected to considerably drop over months 3 and 4 to then slowly maintaining an average 2% monthly reduction. </text>
  </threadedComment>
  <threadedComment ref="A29" dT="2025-08-14T18:12:11.31" personId="{F4EE865A-FDA3-4F99-A034-F4063E0142D2}" id="{4FB4DA28-AE23-42A1-A57E-F6C6CDA97804}">
    <text xml:space="preserve">Based on previous on-site pre-registration ad campagins, we are forecasting a starting CPL (cost per lead) of around €33.33 (£28.89) over the first couple months in the US. As FB algorithm refines targeting and re-targeting audiences the CPL is expected to considerably drop over months 3 and 4 to then slowly maintaining an average 2% monthly reduction. 												
</text>
  </threadedComment>
  <threadedComment ref="A30" dT="2025-08-14T18:12:29.87" personId="{F4EE865A-FDA3-4F99-A034-F4063E0142D2}" id="{6B85665B-1754-48FE-B6FB-4DAC3BDAC819}">
    <text xml:space="preserve">Based on previous on-site pre-registration ad campagins, we are forecasting a starting CPL (cost per lead) of around €33.33 (£28.89) over the first couple months in Canada. As FB algorithm refines targeting and re-targeting audiences the CPL is expected to considerably drop over months 3 and 4 to then slowly maintaining an average 2% monthly reduction. 	</text>
  </threadedComment>
  <threadedComment ref="A31" dT="2025-08-14T18:13:09.65" personId="{F4EE865A-FDA3-4F99-A034-F4063E0142D2}" id="{3A1E0F6B-1114-48A8-9E7F-B5D0CBC4F68B}">
    <text xml:space="preserve">Based on industry statistics, we are forecasting a starting CPL (cost per lead) of around €5 (£4.33) over the first couple months in India. As FB algorithm refines targeting and re-targeting audiences the CPL is expected to considerably drop over months 3 and 4 to then slowly maintaining an average 2% monthly reduction. 												
</text>
  </threadedComment>
  <threadedComment ref="A32" dT="2025-08-14T18:13:25.82" personId="{F4EE865A-FDA3-4F99-A034-F4063E0142D2}" id="{3D4283C1-B071-438D-8049-6B6F92DB47AD}">
    <text xml:space="preserve">Based on previous on-site pre-registration ad campagins, we are forecasting a starting CPL (cost per lead) of around €33.33 (£28.89) over the first couple months in Australia. As FB algorithm refines targeting and re-targeting audiences the CPL is expected to considerably drop over months 3 and 4 to then slowly maintaining an average 2% monthly reduction. 												
</text>
  </threadedComment>
  <threadedComment ref="A33" dT="2025-08-14T18:13:54.03" personId="{F4EE865A-FDA3-4F99-A034-F4063E0142D2}" id="{7F9CAAF3-5862-4718-B2D7-20649BA7980A}">
    <text xml:space="preserve">Based on previous on-site pre-registration ad campagins, we are forecasting a starting CPL (cost per lead) of around €19.05 (£16.51) over the first couple months in New Zealand. As FB algorithm refines targeting and re-targeting audiences the CPL is expected to considerably drop over months 3 and 4 to then slowly maintaining an average 2% monthly reduction. 												
</text>
  </threadedComment>
  <threadedComment ref="A48" dT="2025-08-07T19:59:08.23" personId="{F4EE865A-FDA3-4F99-A034-F4063E0142D2}" id="{B0278740-5975-4FDA-9A2D-2CA5CC163AE9}">
    <text>Facebook/Instagram ads</text>
  </threadedComment>
  <threadedComment ref="A49" dT="2025-08-07T19:59:08.23" personId="{F4EE865A-FDA3-4F99-A034-F4063E0142D2}" id="{8F4172EA-5A89-4716-8A35-3CB74A7B7F33}">
    <text>Facebook/Instagram ads</text>
  </threadedComment>
  <threadedComment ref="A50" dT="2025-08-07T19:59:08.23" personId="{F4EE865A-FDA3-4F99-A034-F4063E0142D2}" id="{ACCA4300-208F-4F7D-BDEB-1B54F1C705FB}">
    <text>Facebook/Instagram ads</text>
  </threadedComment>
  <threadedComment ref="A51" dT="2025-08-07T19:59:08.23" personId="{F4EE865A-FDA3-4F99-A034-F4063E0142D2}" id="{9A4D50F4-CBA3-4684-9366-C4819643AE13}">
    <text>Facebook/Instagram ads</text>
  </threadedComment>
  <threadedComment ref="A52" dT="2025-08-07T19:59:08.23" personId="{F4EE865A-FDA3-4F99-A034-F4063E0142D2}" id="{A4295779-ECA5-4303-AC9A-61DDAB1DBB39}">
    <text>Facebook/Instagram ads</text>
  </threadedComment>
  <threadedComment ref="A53" dT="2025-08-07T19:59:08.23" personId="{F4EE865A-FDA3-4F99-A034-F4063E0142D2}" id="{DE1EAEE7-02AF-461F-96D2-5938213289DD}">
    <text>Facebook/Instagram ads</text>
  </threadedComment>
  <threadedComment ref="A54" dT="2025-08-07T19:59:08.23" personId="{F4EE865A-FDA3-4F99-A034-F4063E0142D2}" id="{B42CFC56-FB40-49FF-9E46-79CE09D95F27}">
    <text>Facebook/Instagram ads</text>
  </threadedComment>
  <threadedComment ref="B59" dT="2025-08-15T16:05:47.15" personId="{F4EE865A-FDA3-4F99-A034-F4063E0142D2}" id="{D1A880CC-2077-4E04-83E5-76E7604535DE}">
    <text>As brand awareness grows and ad campaigns are optimized, cost per lead (CPL) is forecast to decrease by avg 25% per year. Taking into account an expected 5% annual increase in ad costs, a net CPL reduction of approx  20% per year is estimated</text>
  </threadedComment>
</ThreadedComments>
</file>

<file path=xl/threadedComments/threadedComment3.xml><?xml version="1.0" encoding="utf-8"?>
<ThreadedComments xmlns="http://schemas.microsoft.com/office/spreadsheetml/2018/threadedcomments" xmlns:x="http://schemas.openxmlformats.org/spreadsheetml/2006/main">
  <threadedComment ref="B4" dT="2025-10-29T10:36:26.41" personId="{F4EE865A-FDA3-4F99-A034-F4063E0142D2}" id="{952D1E72-AF36-4541-8791-5975539424AA}">
    <text>Investment in worldwide trademark at start Year 2</text>
  </threadedComment>
</ThreadedComments>
</file>

<file path=xl/threadedComments/threadedComment4.xml><?xml version="1.0" encoding="utf-8"?>
<ThreadedComments xmlns="http://schemas.microsoft.com/office/spreadsheetml/2018/threadedcomments" xmlns:x="http://schemas.openxmlformats.org/spreadsheetml/2006/main">
  <threadedComment ref="B29" dT="2025-08-07T16:46:54.73" personId="{F4EE865A-FDA3-4F99-A034-F4063E0142D2}" id="{649672BC-24D6-4265-BD23-37ECDC42777A}">
    <text>Goods and Services Tax (18%)
It is calculated over the gross sales in the country; no minimum thresholds exemptions.
Monthly GST returns will have to be filed at the relevant Indian authorities.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B2115-2C99-4A7B-BDCF-09B73353AC02}">
  <dimension ref="A1:D32"/>
  <sheetViews>
    <sheetView workbookViewId="0">
      <pane ySplit="4" topLeftCell="A5" activePane="bottomLeft" state="frozen"/>
      <selection pane="bottomLeft" activeCell="A12" sqref="A12"/>
    </sheetView>
  </sheetViews>
  <sheetFormatPr defaultRowHeight="14.4" x14ac:dyDescent="0.3"/>
  <cols>
    <col min="1" max="1" width="62.21875" style="2" customWidth="1"/>
    <col min="2" max="2" width="13" style="2" customWidth="1"/>
    <col min="3" max="3" width="6.33203125" style="2" customWidth="1"/>
    <col min="4" max="16384" width="8.88671875" style="2"/>
  </cols>
  <sheetData>
    <row r="1" spans="1:4" ht="28.2" customHeight="1" x14ac:dyDescent="0.3">
      <c r="A1" s="51" t="s">
        <v>165</v>
      </c>
    </row>
    <row r="2" spans="1:4" ht="17.399999999999999" customHeight="1" x14ac:dyDescent="0.3">
      <c r="A2" s="2" t="s">
        <v>162</v>
      </c>
    </row>
    <row r="3" spans="1:4" ht="23.4" customHeight="1" x14ac:dyDescent="0.3"/>
    <row r="4" spans="1:4" s="51" customFormat="1" ht="23.4" customHeight="1" x14ac:dyDescent="0.3">
      <c r="A4" s="51" t="s">
        <v>166</v>
      </c>
      <c r="B4" s="53" t="s">
        <v>167</v>
      </c>
      <c r="D4" s="53" t="s">
        <v>0</v>
      </c>
    </row>
    <row r="5" spans="1:4" ht="15" customHeight="1" x14ac:dyDescent="0.3"/>
    <row r="6" spans="1:4" ht="21.6" customHeight="1" x14ac:dyDescent="0.3">
      <c r="A6" s="227" t="s">
        <v>200</v>
      </c>
      <c r="B6" s="4"/>
    </row>
    <row r="7" spans="1:4" ht="21.6" customHeight="1" x14ac:dyDescent="0.3">
      <c r="A7" s="228" t="s">
        <v>202</v>
      </c>
      <c r="B7" s="5">
        <f>1149*1.2+5089.56</f>
        <v>6468.3600000000006</v>
      </c>
    </row>
    <row r="8" spans="1:4" ht="21.6" customHeight="1" x14ac:dyDescent="0.3">
      <c r="A8" s="228" t="s">
        <v>181</v>
      </c>
      <c r="B8" s="5">
        <v>55.08</v>
      </c>
    </row>
    <row r="9" spans="1:4" ht="19.8" customHeight="1" x14ac:dyDescent="0.3">
      <c r="A9" s="2" t="s">
        <v>182</v>
      </c>
      <c r="B9" s="5">
        <v>54</v>
      </c>
      <c r="C9" s="5"/>
    </row>
    <row r="10" spans="1:4" ht="19.8" customHeight="1" x14ac:dyDescent="0.3">
      <c r="A10" s="2" t="s">
        <v>183</v>
      </c>
      <c r="B10" s="5">
        <v>202</v>
      </c>
      <c r="C10" s="5"/>
    </row>
    <row r="11" spans="1:4" ht="21.6" customHeight="1" x14ac:dyDescent="0.3">
      <c r="A11" s="228" t="s">
        <v>184</v>
      </c>
      <c r="B11" s="5">
        <v>1800</v>
      </c>
    </row>
    <row r="12" spans="1:4" ht="19.8" customHeight="1" x14ac:dyDescent="0.3">
      <c r="A12" s="2" t="s">
        <v>194</v>
      </c>
      <c r="B12" s="5">
        <v>34.53</v>
      </c>
      <c r="C12" s="5"/>
    </row>
    <row r="13" spans="1:4" ht="19.8" customHeight="1" x14ac:dyDescent="0.3">
      <c r="A13" s="2" t="s">
        <v>185</v>
      </c>
      <c r="B13" s="5">
        <f>129.6+97.2</f>
        <v>226.8</v>
      </c>
      <c r="C13" s="5"/>
    </row>
    <row r="14" spans="1:4" ht="19.8" customHeight="1" x14ac:dyDescent="0.3">
      <c r="A14" s="2" t="s">
        <v>186</v>
      </c>
      <c r="B14" s="5">
        <v>267.56</v>
      </c>
      <c r="C14" s="5"/>
    </row>
    <row r="15" spans="1:4" ht="19.8" customHeight="1" x14ac:dyDescent="0.3">
      <c r="A15" s="2" t="s">
        <v>195</v>
      </c>
      <c r="B15" s="5">
        <f>(55.52*1.2)*2</f>
        <v>133.24799999999999</v>
      </c>
      <c r="C15" s="5"/>
    </row>
    <row r="16" spans="1:4" ht="19.8" customHeight="1" x14ac:dyDescent="0.3">
      <c r="A16" s="2" t="s">
        <v>196</v>
      </c>
      <c r="B16" s="5">
        <f>7.57*1.2</f>
        <v>9.0839999999999996</v>
      </c>
      <c r="C16" s="5"/>
    </row>
    <row r="17" spans="1:3" ht="19.8" customHeight="1" x14ac:dyDescent="0.3">
      <c r="A17" s="2" t="s">
        <v>187</v>
      </c>
      <c r="B17" s="5">
        <f>115.08*1.2</f>
        <v>138.096</v>
      </c>
      <c r="C17" s="5"/>
    </row>
    <row r="18" spans="1:3" ht="19.8" customHeight="1" x14ac:dyDescent="0.3">
      <c r="A18" s="2" t="s">
        <v>188</v>
      </c>
      <c r="B18" s="5">
        <f>66.59</f>
        <v>66.59</v>
      </c>
      <c r="C18" s="5"/>
    </row>
    <row r="19" spans="1:3" ht="19.8" customHeight="1" x14ac:dyDescent="0.3">
      <c r="A19" s="2" t="s">
        <v>189</v>
      </c>
      <c r="B19" s="5">
        <v>900</v>
      </c>
      <c r="C19" s="5"/>
    </row>
    <row r="20" spans="1:3" ht="19.8" customHeight="1" x14ac:dyDescent="0.3">
      <c r="A20" s="2" t="s">
        <v>190</v>
      </c>
      <c r="B20" s="5">
        <v>250</v>
      </c>
      <c r="C20" s="5"/>
    </row>
    <row r="21" spans="1:3" ht="19.8" customHeight="1" x14ac:dyDescent="0.3">
      <c r="A21" s="2" t="s">
        <v>191</v>
      </c>
      <c r="B21" s="5">
        <f>1440</f>
        <v>1440</v>
      </c>
      <c r="C21" s="5"/>
    </row>
    <row r="22" spans="1:3" ht="19.8" customHeight="1" x14ac:dyDescent="0.3">
      <c r="A22" s="2" t="s">
        <v>193</v>
      </c>
      <c r="B22" s="5">
        <v>40</v>
      </c>
      <c r="C22" s="5"/>
    </row>
    <row r="23" spans="1:3" ht="19.8" customHeight="1" x14ac:dyDescent="0.3">
      <c r="A23" s="2" t="s">
        <v>192</v>
      </c>
      <c r="B23" s="54">
        <f>344.76+208.68</f>
        <v>553.44000000000005</v>
      </c>
      <c r="C23" s="5"/>
    </row>
    <row r="24" spans="1:3" s="51" customFormat="1" ht="28.2" customHeight="1" x14ac:dyDescent="0.3">
      <c r="A24" s="227" t="s">
        <v>201</v>
      </c>
      <c r="B24" s="342">
        <f>SUM(B7:B23)</f>
        <v>12638.788</v>
      </c>
    </row>
    <row r="25" spans="1:3" ht="15.6" customHeight="1" x14ac:dyDescent="0.3"/>
    <row r="26" spans="1:3" x14ac:dyDescent="0.3">
      <c r="B26" s="5"/>
      <c r="C26" s="5"/>
    </row>
    <row r="27" spans="1:3" s="51" customFormat="1" ht="25.2" customHeight="1" x14ac:dyDescent="0.3">
      <c r="B27" s="226"/>
      <c r="C27" s="226"/>
    </row>
    <row r="28" spans="1:3" x14ac:dyDescent="0.3">
      <c r="B28" s="5"/>
      <c r="C28" s="5"/>
    </row>
    <row r="29" spans="1:3" x14ac:dyDescent="0.3">
      <c r="B29" s="5"/>
      <c r="C29" s="5"/>
    </row>
    <row r="30" spans="1:3" x14ac:dyDescent="0.3">
      <c r="A30" s="9"/>
      <c r="B30" s="5"/>
      <c r="C30" s="5"/>
    </row>
    <row r="31" spans="1:3" x14ac:dyDescent="0.3">
      <c r="B31" s="5"/>
      <c r="C31" s="5"/>
    </row>
    <row r="32" spans="1:3" x14ac:dyDescent="0.3">
      <c r="B32" s="5"/>
      <c r="C32" s="5"/>
    </row>
  </sheetData>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9199-16A2-406D-83FA-094954364E64}">
  <dimension ref="A1:AC50"/>
  <sheetViews>
    <sheetView workbookViewId="0">
      <pane ySplit="2" topLeftCell="A3" activePane="bottomLeft" state="frozen"/>
      <selection pane="bottomLeft" activeCell="E18" sqref="E18"/>
    </sheetView>
  </sheetViews>
  <sheetFormatPr defaultRowHeight="12.6" x14ac:dyDescent="0.3"/>
  <cols>
    <col min="1" max="1" width="25" style="16" customWidth="1"/>
    <col min="2" max="2" width="9.44140625" style="16" customWidth="1"/>
    <col min="3" max="3" width="6.77734375" style="16" customWidth="1"/>
    <col min="4" max="4" width="6.6640625" style="16" customWidth="1"/>
    <col min="5" max="5" width="7.77734375" style="16" customWidth="1"/>
    <col min="6" max="7" width="8.44140625" style="16" customWidth="1"/>
    <col min="8" max="8" width="9" style="16" customWidth="1"/>
    <col min="9" max="9" width="8.33203125" style="16" customWidth="1"/>
    <col min="10" max="10" width="8.21875" style="16" customWidth="1"/>
    <col min="11" max="11" width="8.44140625" style="16" customWidth="1"/>
    <col min="12" max="13" width="7.5546875" style="16" customWidth="1"/>
    <col min="14" max="14" width="8.44140625" style="16" customWidth="1"/>
    <col min="15" max="15" width="9.5546875" style="16" customWidth="1"/>
    <col min="16" max="17" width="7.5546875" style="16" customWidth="1"/>
    <col min="18" max="18" width="8.44140625" style="16" customWidth="1"/>
    <col min="19" max="19" width="8.5546875" style="16" customWidth="1"/>
    <col min="20" max="21" width="7.5546875" style="16" customWidth="1"/>
    <col min="22" max="22" width="8.44140625" style="16" customWidth="1"/>
    <col min="23" max="23" width="8.88671875" style="16" customWidth="1"/>
    <col min="24" max="16384" width="8.88671875" style="16"/>
  </cols>
  <sheetData>
    <row r="1" spans="1:29" s="498" customFormat="1" ht="26.4" customHeight="1" x14ac:dyDescent="0.3">
      <c r="A1" s="496" t="s">
        <v>205</v>
      </c>
      <c r="B1" s="593"/>
      <c r="C1" s="497"/>
      <c r="D1" s="993" t="s">
        <v>38</v>
      </c>
      <c r="E1" s="994"/>
      <c r="F1" s="994"/>
      <c r="G1" s="995"/>
      <c r="H1" s="993" t="s">
        <v>39</v>
      </c>
      <c r="I1" s="994"/>
      <c r="J1" s="994"/>
      <c r="K1" s="995"/>
      <c r="L1" s="993" t="s">
        <v>40</v>
      </c>
      <c r="M1" s="994"/>
      <c r="N1" s="994"/>
      <c r="O1" s="995"/>
      <c r="P1" s="993" t="s">
        <v>141</v>
      </c>
      <c r="Q1" s="994"/>
      <c r="R1" s="994"/>
      <c r="S1" s="995"/>
      <c r="T1" s="993" t="s">
        <v>145</v>
      </c>
      <c r="U1" s="994"/>
      <c r="V1" s="994"/>
      <c r="W1" s="995"/>
    </row>
    <row r="2" spans="1:29" s="246" customFormat="1" ht="72.599999999999994" customHeight="1" x14ac:dyDescent="0.3">
      <c r="A2" s="244"/>
      <c r="C2" s="499"/>
      <c r="D2" s="244" t="s">
        <v>221</v>
      </c>
      <c r="E2" s="500" t="s">
        <v>102</v>
      </c>
      <c r="F2" s="501" t="s">
        <v>217</v>
      </c>
      <c r="G2" s="502" t="s">
        <v>234</v>
      </c>
      <c r="H2" s="244" t="s">
        <v>230</v>
      </c>
      <c r="I2" s="500" t="s">
        <v>102</v>
      </c>
      <c r="J2" s="501" t="s">
        <v>217</v>
      </c>
      <c r="K2" s="502" t="s">
        <v>234</v>
      </c>
      <c r="L2" s="244" t="s">
        <v>230</v>
      </c>
      <c r="M2" s="500" t="s">
        <v>102</v>
      </c>
      <c r="N2" s="501" t="s">
        <v>217</v>
      </c>
      <c r="O2" s="502" t="s">
        <v>234</v>
      </c>
      <c r="P2" s="244" t="s">
        <v>230</v>
      </c>
      <c r="Q2" s="500" t="s">
        <v>102</v>
      </c>
      <c r="R2" s="501" t="s">
        <v>217</v>
      </c>
      <c r="S2" s="502" t="s">
        <v>234</v>
      </c>
      <c r="T2" s="244" t="s">
        <v>230</v>
      </c>
      <c r="U2" s="500" t="s">
        <v>102</v>
      </c>
      <c r="V2" s="501" t="s">
        <v>217</v>
      </c>
      <c r="W2" s="502" t="s">
        <v>234</v>
      </c>
      <c r="X2" s="246" t="s">
        <v>211</v>
      </c>
    </row>
    <row r="3" spans="1:29" ht="28.2" customHeight="1" x14ac:dyDescent="0.3">
      <c r="A3" s="17" t="s">
        <v>95</v>
      </c>
      <c r="B3" s="20"/>
      <c r="C3" s="503"/>
      <c r="D3" s="504">
        <v>0</v>
      </c>
      <c r="E3" s="505">
        <f>(E10+E16)*E20</f>
        <v>6164.1</v>
      </c>
      <c r="F3" s="506">
        <f>'Users 1st year'!$BB$3</f>
        <v>-555.6097188112301</v>
      </c>
      <c r="G3" s="507">
        <f>'Users 1st year'!BA3</f>
        <v>30859.985940561499</v>
      </c>
      <c r="H3" s="181">
        <f>'Users 1st year'!BE3</f>
        <v>5603.3902811887701</v>
      </c>
      <c r="I3" s="505">
        <f>(I10+I16)*I20</f>
        <v>5191.9419757019868</v>
      </c>
      <c r="J3" s="506">
        <f>-(J29*H3+J29/2*I3)</f>
        <v>-3894.6966027938879</v>
      </c>
      <c r="K3" s="507">
        <f>12*(1-J29/2)*H3+6*(1-J29/2)*I3</f>
        <v>75024.155611713824</v>
      </c>
      <c r="L3" s="181">
        <f>H3+I3+J3</f>
        <v>6900.6356540968691</v>
      </c>
      <c r="M3" s="505">
        <f>(M10+M16)*M20</f>
        <v>7408.4229695667054</v>
      </c>
      <c r="N3" s="506">
        <f>-(N29*L3+N29/2*M3)</f>
        <v>-4719.1569768016989</v>
      </c>
      <c r="O3" s="507">
        <f>12*(1-N29/2)*L3+6*(1-N29/2)*M3</f>
        <v>98943.223805752466</v>
      </c>
      <c r="P3" s="181">
        <f t="shared" ref="P3:P5" si="0">L3+M3+N3</f>
        <v>9589.9016468618756</v>
      </c>
      <c r="Q3" s="505">
        <f>(Q10+Q16)*Q20</f>
        <v>9636.2453134496573</v>
      </c>
      <c r="R3" s="506">
        <f>-(R29*P3+R29/2*Q3)</f>
        <v>-5979.3300859884821</v>
      </c>
      <c r="S3" s="507">
        <f>12*(1-R29/2)*P3+6*(1-R29/2)*Q3</f>
        <v>137020.31112710957</v>
      </c>
      <c r="T3" s="181">
        <f t="shared" ref="T3:T5" si="1">P3+Q3+R3</f>
        <v>13246.816874323051</v>
      </c>
      <c r="U3" s="505">
        <f>(U10+U16)*U20</f>
        <v>11352.041549076983</v>
      </c>
      <c r="V3" s="506">
        <f>-(V29*T3+V29/2*U3)</f>
        <v>-7379.9066830560023</v>
      </c>
      <c r="W3" s="507">
        <f>12*(1-V29/2)*T3+6*(1-V29/2)*U3</f>
        <v>182794.61168800251</v>
      </c>
      <c r="X3" s="66">
        <f>T3+U3+V3</f>
        <v>17218.951740344033</v>
      </c>
    </row>
    <row r="4" spans="1:29" ht="28.2" customHeight="1" x14ac:dyDescent="0.3">
      <c r="A4" s="17" t="s">
        <v>96</v>
      </c>
      <c r="B4" s="20"/>
      <c r="C4" s="503"/>
      <c r="D4" s="504">
        <v>0</v>
      </c>
      <c r="E4" s="505">
        <f>(E10+E16)*E21</f>
        <v>547.91999999999996</v>
      </c>
      <c r="F4" s="506">
        <f>'Users 1st year'!$BB$4</f>
        <v>-334.49061960787202</v>
      </c>
      <c r="G4" s="507">
        <f>'Users 1st year'!BA4</f>
        <v>1696.7751229459632</v>
      </c>
      <c r="H4" s="181">
        <f>'Users 1st year'!BE4</f>
        <v>207.50938039212795</v>
      </c>
      <c r="I4" s="505">
        <f>(I10+I16)*I21</f>
        <v>530.994065696794</v>
      </c>
      <c r="J4" s="506">
        <f>-(J30*H4+J30/2*I4)</f>
        <v>-283.80384794431495</v>
      </c>
      <c r="K4" s="507">
        <f>12*(1-J30/2)*H4+6*(1-J30/2)*I4</f>
        <v>3973.2538712204087</v>
      </c>
      <c r="L4" s="181">
        <f t="shared" ref="L4:L5" si="2">H4+I4+J4</f>
        <v>454.69959814460697</v>
      </c>
      <c r="M4" s="505">
        <f>(M10+M16)*M21</f>
        <v>861.44453134496587</v>
      </c>
      <c r="N4" s="506">
        <f>-(N30*L4+N30/2*M4)</f>
        <v>-486.98202509939949</v>
      </c>
      <c r="O4" s="507">
        <f>12*(1-N30/2)*L4+6*(1-N30/2)*M4</f>
        <v>7703.1702152086818</v>
      </c>
      <c r="P4" s="181">
        <f t="shared" si="0"/>
        <v>829.16210439017334</v>
      </c>
      <c r="Q4" s="505">
        <f>(Q10+Q16)*Q21</f>
        <v>1261.889267237455</v>
      </c>
      <c r="R4" s="506">
        <f>-(R30*P4+R30/2*Q4)</f>
        <v>-730.05336900445036</v>
      </c>
      <c r="S4" s="507">
        <f>12*(1-R30/2)*P4+6*(1-R30/2)*Q4</f>
        <v>13140.960642080106</v>
      </c>
      <c r="T4" s="181">
        <f t="shared" si="1"/>
        <v>1360.9980026231779</v>
      </c>
      <c r="U4" s="505">
        <f>(U10+U16)*U21</f>
        <v>1661.274373035656</v>
      </c>
      <c r="V4" s="506">
        <f>-(V30*T4+V30/2*U4)</f>
        <v>-986.23583511345259</v>
      </c>
      <c r="W4" s="507">
        <f>12*(1-V30/2)*T4+6*(1-V30/2)*U4</f>
        <v>20382.207259011357</v>
      </c>
      <c r="X4" s="66">
        <f t="shared" ref="X4:X6" si="3">T4+U4+V4</f>
        <v>2036.0365405453813</v>
      </c>
    </row>
    <row r="5" spans="1:29" ht="28.2" customHeight="1" x14ac:dyDescent="0.3">
      <c r="A5" s="17" t="s">
        <v>97</v>
      </c>
      <c r="B5" s="20"/>
      <c r="C5" s="503"/>
      <c r="D5" s="508">
        <v>0</v>
      </c>
      <c r="E5" s="509">
        <f>(E10+E16)*E22</f>
        <v>136.97999999999999</v>
      </c>
      <c r="F5" s="510">
        <f>'Users 1st year'!$BB$5</f>
        <v>-75.236037177950706</v>
      </c>
      <c r="G5" s="511">
        <f>'Users 1st year'!BA5</f>
        <v>432.23307938853526</v>
      </c>
      <c r="H5" s="512">
        <f>'Users 1st year'!BE5</f>
        <v>56.763962822049308</v>
      </c>
      <c r="I5" s="509">
        <f>(I10+I16)*I22</f>
        <v>176.99802189893134</v>
      </c>
      <c r="J5" s="510">
        <f>-(J31*H5+J31/2*I5)</f>
        <v>-52.294670557745391</v>
      </c>
      <c r="K5" s="511">
        <f>12*(1-J31/2)*H5+6*(1-J31/2)*I5</f>
        <v>1429.3876619117073</v>
      </c>
      <c r="L5" s="512">
        <f t="shared" si="2"/>
        <v>181.46731416323524</v>
      </c>
      <c r="M5" s="509">
        <f>(M10+M16)*M22</f>
        <v>344.57781253798635</v>
      </c>
      <c r="N5" s="510">
        <f>-(N31*L5+N31/2*M5)</f>
        <v>-113.2019905383131</v>
      </c>
      <c r="O5" s="511">
        <f>12*(1-N31/2)*L5+6*(1-N31/2)*M5</f>
        <v>3565.8627019568626</v>
      </c>
      <c r="P5" s="512">
        <f t="shared" si="0"/>
        <v>412.84313616290842</v>
      </c>
      <c r="Q5" s="509">
        <f>(Q10+Q16)*Q22</f>
        <v>573.58603056247955</v>
      </c>
      <c r="R5" s="510">
        <f>-(R31*P5+R31/2*Q5)</f>
        <v>-202.89448391880296</v>
      </c>
      <c r="S5" s="511">
        <f>12*(1-R31/2)*P5+6*(1-R31/2)*Q5</f>
        <v>7178.2669138169604</v>
      </c>
      <c r="T5" s="512">
        <f t="shared" si="1"/>
        <v>783.53468280658501</v>
      </c>
      <c r="U5" s="509">
        <f>(U10+U16)*U22</f>
        <v>830.63718651782801</v>
      </c>
      <c r="V5" s="510">
        <f>-(V31*T5+V31/2*U5)</f>
        <v>-311.70185177702979</v>
      </c>
      <c r="W5" s="511">
        <f>12*(1-V31/2)*T5+6*(1-V31/2)*U5</f>
        <v>12516.028202123809</v>
      </c>
      <c r="X5" s="66">
        <f t="shared" si="3"/>
        <v>1302.4700175473831</v>
      </c>
    </row>
    <row r="6" spans="1:29" s="279" customFormat="1" ht="30" customHeight="1" x14ac:dyDescent="0.3">
      <c r="A6" s="513" t="s">
        <v>26</v>
      </c>
      <c r="B6" s="594"/>
      <c r="C6" s="514"/>
      <c r="D6" s="515">
        <f>SUM(D3:D5)</f>
        <v>0</v>
      </c>
      <c r="E6" s="516">
        <f t="shared" ref="E6:K6" si="4">SUM(E3:E5)</f>
        <v>6849</v>
      </c>
      <c r="F6" s="517">
        <f>SUM(F3:F5)</f>
        <v>-965.33637559705289</v>
      </c>
      <c r="G6" s="518">
        <f t="shared" si="4"/>
        <v>32988.994142896001</v>
      </c>
      <c r="H6" s="519">
        <f t="shared" si="4"/>
        <v>5867.6636244029478</v>
      </c>
      <c r="I6" s="516">
        <f t="shared" si="4"/>
        <v>5899.9340632977119</v>
      </c>
      <c r="J6" s="517">
        <f>SUM(J3:J5)</f>
        <v>-4230.7951212959479</v>
      </c>
      <c r="K6" s="518">
        <f t="shared" si="4"/>
        <v>80426.797144845943</v>
      </c>
      <c r="L6" s="515">
        <f>SUM(L3:L5)</f>
        <v>7536.8025664047118</v>
      </c>
      <c r="M6" s="516">
        <f t="shared" ref="M6:U6" si="5">SUM(M3:M5)</f>
        <v>8614.4453134496562</v>
      </c>
      <c r="N6" s="517">
        <f>SUM(N3:N5)</f>
        <v>-5319.3409924394118</v>
      </c>
      <c r="O6" s="518">
        <f>SUM(O3:O5)</f>
        <v>110212.25672291801</v>
      </c>
      <c r="P6" s="515">
        <f>SUM(P3:P5)</f>
        <v>10831.906887414958</v>
      </c>
      <c r="Q6" s="516">
        <f t="shared" si="5"/>
        <v>11471.720611249591</v>
      </c>
      <c r="R6" s="517">
        <f>SUM(R3:R5)</f>
        <v>-6912.277938911735</v>
      </c>
      <c r="S6" s="518">
        <f>SUM(S3:S5)</f>
        <v>157339.53868300666</v>
      </c>
      <c r="T6" s="515">
        <f>SUM(T3:T5)</f>
        <v>15391.349559752813</v>
      </c>
      <c r="U6" s="516">
        <f t="shared" si="5"/>
        <v>13843.953108630467</v>
      </c>
      <c r="V6" s="517">
        <f>SUM(V3:V5)</f>
        <v>-8677.8443699464842</v>
      </c>
      <c r="W6" s="518">
        <f>SUM(W3:W5)</f>
        <v>215692.8471491377</v>
      </c>
      <c r="X6" s="66">
        <f t="shared" si="3"/>
        <v>20557.458298436795</v>
      </c>
    </row>
    <row r="7" spans="1:29" s="77" customFormat="1" ht="16.2" customHeight="1" x14ac:dyDescent="0.3">
      <c r="A7" s="25"/>
      <c r="B7" s="25"/>
      <c r="C7" s="25"/>
      <c r="D7" s="25"/>
      <c r="E7" s="279"/>
      <c r="F7" s="279"/>
      <c r="G7" s="279"/>
      <c r="H7" s="279"/>
      <c r="I7" s="279"/>
      <c r="J7" s="279"/>
      <c r="K7" s="279"/>
      <c r="L7" s="279"/>
      <c r="M7" s="279"/>
      <c r="N7" s="279"/>
      <c r="O7" s="279"/>
      <c r="P7" s="279"/>
      <c r="Q7" s="279"/>
      <c r="R7" s="279"/>
      <c r="S7" s="279"/>
      <c r="T7" s="279"/>
      <c r="U7" s="279"/>
      <c r="V7" s="279"/>
      <c r="W7" s="279"/>
    </row>
    <row r="8" spans="1:29" s="77" customFormat="1" ht="16.2" customHeight="1" x14ac:dyDescent="0.3">
      <c r="A8" s="25"/>
      <c r="B8" s="25"/>
      <c r="C8" s="25"/>
      <c r="D8" s="25"/>
      <c r="E8" s="279"/>
      <c r="F8" s="520"/>
      <c r="G8" s="520"/>
      <c r="H8" s="279"/>
      <c r="I8" s="279"/>
      <c r="J8" s="279"/>
      <c r="K8" s="279"/>
      <c r="L8" s="279"/>
      <c r="M8" s="279"/>
      <c r="N8" s="279"/>
      <c r="O8" s="279"/>
      <c r="P8" s="279"/>
      <c r="Q8" s="279"/>
      <c r="R8" s="279"/>
      <c r="S8" s="279"/>
      <c r="T8" s="279"/>
      <c r="U8" s="279"/>
      <c r="V8" s="279"/>
      <c r="W8" s="279"/>
    </row>
    <row r="9" spans="1:29" s="527" customFormat="1" ht="25.8" customHeight="1" x14ac:dyDescent="0.3">
      <c r="A9" s="886" t="s">
        <v>224</v>
      </c>
      <c r="B9" s="886"/>
      <c r="E9" s="527" t="s">
        <v>368</v>
      </c>
      <c r="F9" s="954"/>
      <c r="G9" s="954"/>
      <c r="H9" s="889"/>
      <c r="I9" s="527" t="s">
        <v>368</v>
      </c>
      <c r="K9" s="889"/>
      <c r="L9" s="889"/>
      <c r="M9" s="527" t="s">
        <v>368</v>
      </c>
      <c r="Q9" s="527" t="s">
        <v>368</v>
      </c>
      <c r="U9" s="527" t="s">
        <v>368</v>
      </c>
    </row>
    <row r="10" spans="1:29" s="887" customFormat="1" ht="28.2" customHeight="1" x14ac:dyDescent="0.3">
      <c r="A10" s="887" t="s">
        <v>223</v>
      </c>
      <c r="D10" s="505"/>
      <c r="E10" s="505">
        <f>'Users 1st year'!AZ18</f>
        <v>5895</v>
      </c>
      <c r="F10" s="888"/>
      <c r="G10" s="888"/>
      <c r="H10" s="955"/>
      <c r="I10" s="505">
        <f>'Computs fore costs'!J68</f>
        <v>3934.9340632977119</v>
      </c>
      <c r="K10" s="505"/>
      <c r="L10" s="505"/>
      <c r="M10" s="505">
        <f>'Computs fore costs'!N68</f>
        <v>4684.4453134496571</v>
      </c>
      <c r="Q10" s="505">
        <f>'Computs fore costs'!R68</f>
        <v>5576.7206112495915</v>
      </c>
      <c r="U10" s="505">
        <f>'Computs fore costs'!V68</f>
        <v>6638.9531086304669</v>
      </c>
    </row>
    <row r="11" spans="1:29" ht="22.8" customHeight="1" x14ac:dyDescent="0.3">
      <c r="E11" s="21"/>
      <c r="F11" s="21"/>
      <c r="G11" s="21"/>
      <c r="H11" s="21"/>
      <c r="I11" s="279"/>
      <c r="K11" s="169"/>
      <c r="L11" s="66"/>
      <c r="M11" s="66"/>
    </row>
    <row r="12" spans="1:29" s="77" customFormat="1" ht="15.6" customHeight="1" x14ac:dyDescent="0.3">
      <c r="A12" s="25"/>
      <c r="B12" s="25"/>
      <c r="C12" s="25"/>
      <c r="D12" s="25"/>
      <c r="E12" s="279"/>
      <c r="F12" s="279"/>
      <c r="G12" s="279"/>
      <c r="H12" s="279"/>
      <c r="I12" s="279"/>
      <c r="J12" s="279"/>
      <c r="K12" s="279"/>
      <c r="L12" s="279"/>
      <c r="M12" s="279"/>
      <c r="N12" s="279"/>
      <c r="O12" s="279"/>
      <c r="P12" s="279"/>
      <c r="Q12" s="279"/>
      <c r="R12" s="279"/>
      <c r="S12" s="279"/>
      <c r="T12" s="279"/>
      <c r="U12" s="279"/>
      <c r="V12" s="279"/>
      <c r="W12" s="279"/>
    </row>
    <row r="13" spans="1:29" s="527" customFormat="1" ht="37.799999999999997" customHeight="1" x14ac:dyDescent="0.3">
      <c r="A13" s="521" t="s">
        <v>222</v>
      </c>
      <c r="B13" s="596"/>
      <c r="C13" s="522" t="e" vm="6">
        <v>#VALUE!</v>
      </c>
      <c r="D13" s="523"/>
      <c r="E13" s="524" t="s">
        <v>38</v>
      </c>
      <c r="F13" s="524"/>
      <c r="G13" s="525"/>
      <c r="H13" s="523"/>
      <c r="I13" s="524" t="str">
        <f>LEFT(E13,LEN(E13)-LEN(RIGHT(E13,LEN(E13)-FIND(" ",E13)))) &amp; " " &amp; (RIGHT(E13,LEN(E13)-FIND(" ",E13)) + 1)</f>
        <v>Year  2</v>
      </c>
      <c r="J13" s="524"/>
      <c r="K13" s="525"/>
      <c r="L13" s="523"/>
      <c r="M13" s="524" t="str">
        <f>LEFT(I13,LEN(I13)-LEN(RIGHT(I13,LEN(I13)-FIND(" ",I13)))) &amp; " " &amp; (RIGHT(I13,LEN(I13)-FIND(" ",I13)) + 1)</f>
        <v>Year  3</v>
      </c>
      <c r="N13" s="524"/>
      <c r="O13" s="525"/>
      <c r="P13" s="523"/>
      <c r="Q13" s="524" t="str">
        <f>LEFT(M13,LEN(M13)-LEN(RIGHT(M13,LEN(M13)-FIND(" ",M13)))) &amp; " " &amp; (RIGHT(M13,LEN(M13)-FIND(" ",M13)) + 1)</f>
        <v>Year  4</v>
      </c>
      <c r="R13" s="524"/>
      <c r="S13" s="525"/>
      <c r="T13" s="523"/>
      <c r="U13" s="524" t="str">
        <f>LEFT(Q13,LEN(Q13)-LEN(RIGHT(Q13,LEN(Q13)-FIND(" ",Q13)))) &amp; " " &amp; (RIGHT(Q13,LEN(Q13)-FIND(" ",Q13)) + 1)</f>
        <v>Year  5</v>
      </c>
      <c r="V13" s="526"/>
      <c r="W13" s="525"/>
    </row>
    <row r="14" spans="1:29" s="77" customFormat="1" ht="24" customHeight="1" x14ac:dyDescent="0.3">
      <c r="A14" s="642" t="s">
        <v>238</v>
      </c>
      <c r="B14" s="169"/>
      <c r="C14" s="639"/>
      <c r="D14" s="640"/>
      <c r="E14" s="70"/>
      <c r="F14" s="70"/>
      <c r="G14" s="641"/>
      <c r="H14" s="640"/>
      <c r="I14" s="70"/>
      <c r="J14" s="70"/>
      <c r="K14" s="641"/>
      <c r="L14" s="640"/>
      <c r="M14" s="70"/>
      <c r="N14" s="70"/>
      <c r="O14" s="641"/>
      <c r="P14" s="640"/>
      <c r="Q14" s="70"/>
      <c r="R14" s="70"/>
      <c r="S14" s="641"/>
      <c r="T14" s="640"/>
      <c r="U14" s="70"/>
      <c r="V14" s="280"/>
      <c r="W14" s="641"/>
    </row>
    <row r="15" spans="1:29" s="212" customFormat="1" ht="22.2" customHeight="1" x14ac:dyDescent="0.3">
      <c r="A15" s="528" t="s">
        <v>216</v>
      </c>
      <c r="B15" s="27"/>
      <c r="C15" s="529"/>
      <c r="D15" s="530"/>
      <c r="E15" s="531">
        <f>'Users 1st year'!AZ23</f>
        <v>0.13961656666178837</v>
      </c>
      <c r="F15" s="531"/>
      <c r="G15" s="532"/>
      <c r="H15" s="533"/>
      <c r="I15" s="531">
        <v>0.25</v>
      </c>
      <c r="J15" s="531"/>
      <c r="K15" s="532"/>
      <c r="L15" s="533"/>
      <c r="M15" s="531">
        <v>0.4</v>
      </c>
      <c r="N15" s="531"/>
      <c r="O15" s="532"/>
      <c r="P15" s="533"/>
      <c r="Q15" s="531">
        <v>0.5</v>
      </c>
      <c r="R15" s="531"/>
      <c r="S15" s="532"/>
      <c r="T15" s="533"/>
      <c r="U15" s="531">
        <v>0.55000000000000004</v>
      </c>
      <c r="V15" s="531"/>
      <c r="W15" s="532"/>
      <c r="X15" s="172"/>
      <c r="Y15" s="172"/>
      <c r="Z15" s="172"/>
      <c r="AA15" s="172"/>
      <c r="AB15" s="172"/>
      <c r="AC15" s="172"/>
    </row>
    <row r="16" spans="1:29" s="212" customFormat="1" ht="22.2" customHeight="1" x14ac:dyDescent="0.3">
      <c r="A16" s="534" t="s">
        <v>215</v>
      </c>
      <c r="B16" s="597"/>
      <c r="C16" s="535"/>
      <c r="D16" s="536"/>
      <c r="E16" s="206">
        <f>'Users 1st year'!AZ24</f>
        <v>954</v>
      </c>
      <c r="F16" s="537"/>
      <c r="G16" s="538"/>
      <c r="H16" s="539"/>
      <c r="I16" s="206">
        <f>INT($E$10*I15/(1-I15))</f>
        <v>1965</v>
      </c>
      <c r="J16" s="206"/>
      <c r="K16" s="540"/>
      <c r="L16" s="541"/>
      <c r="M16" s="206">
        <f>INT($E$10*M15/(1-M15))</f>
        <v>3930</v>
      </c>
      <c r="N16" s="206"/>
      <c r="O16" s="538"/>
      <c r="P16" s="541"/>
      <c r="Q16" s="206">
        <f>INT($E$10*Q15/(1-Q15))</f>
        <v>5895</v>
      </c>
      <c r="R16" s="206"/>
      <c r="S16" s="538"/>
      <c r="T16" s="541"/>
      <c r="U16" s="206">
        <f>INT($E$10*U15/(1-U15))</f>
        <v>7205</v>
      </c>
      <c r="V16" s="537"/>
      <c r="W16" s="538"/>
    </row>
    <row r="17" spans="1:23" s="212" customFormat="1" ht="15.6" customHeight="1" x14ac:dyDescent="0.3">
      <c r="A17" s="528"/>
      <c r="B17" s="27"/>
      <c r="D17" s="29"/>
      <c r="E17" s="203"/>
      <c r="F17" s="531"/>
      <c r="G17" s="203"/>
      <c r="H17" s="531"/>
      <c r="I17" s="203"/>
      <c r="J17" s="203"/>
      <c r="K17" s="531"/>
      <c r="L17" s="203"/>
      <c r="M17" s="203"/>
      <c r="N17" s="203"/>
      <c r="O17" s="203"/>
      <c r="P17" s="203"/>
      <c r="Q17" s="531"/>
      <c r="R17" s="203"/>
      <c r="S17" s="203"/>
      <c r="T17" s="203"/>
      <c r="U17" s="203"/>
      <c r="V17" s="531"/>
      <c r="W17" s="203"/>
    </row>
    <row r="18" spans="1:23" ht="18" customHeight="1" x14ac:dyDescent="0.3">
      <c r="D18" s="29"/>
      <c r="E18" s="203"/>
      <c r="F18" s="203"/>
      <c r="G18" s="203"/>
      <c r="H18" s="203"/>
      <c r="I18" s="203"/>
      <c r="J18" s="203"/>
      <c r="K18" s="203"/>
      <c r="L18" s="203"/>
      <c r="M18" s="203"/>
      <c r="N18" s="203"/>
      <c r="O18" s="203"/>
      <c r="P18" s="203"/>
      <c r="Q18" s="203"/>
      <c r="R18" s="203"/>
      <c r="S18" s="203"/>
      <c r="T18" s="203"/>
      <c r="U18" s="203"/>
      <c r="V18" s="203"/>
      <c r="W18" s="203"/>
    </row>
    <row r="19" spans="1:23" s="549" customFormat="1" ht="26.4" customHeight="1" x14ac:dyDescent="0.3">
      <c r="A19" s="542" t="s">
        <v>213</v>
      </c>
      <c r="B19" s="598"/>
      <c r="C19" s="543" t="e" vm="5">
        <v>#VALUE!</v>
      </c>
      <c r="D19" s="544"/>
      <c r="E19" s="545" t="s">
        <v>38</v>
      </c>
      <c r="F19" s="545"/>
      <c r="G19" s="546"/>
      <c r="H19" s="547"/>
      <c r="I19" s="545" t="s">
        <v>39</v>
      </c>
      <c r="J19" s="545"/>
      <c r="K19" s="546"/>
      <c r="L19" s="547"/>
      <c r="M19" s="545" t="s">
        <v>40</v>
      </c>
      <c r="N19" s="545"/>
      <c r="O19" s="546"/>
      <c r="P19" s="547"/>
      <c r="Q19" s="545" t="s">
        <v>141</v>
      </c>
      <c r="R19" s="545"/>
      <c r="S19" s="546"/>
      <c r="T19" s="547"/>
      <c r="U19" s="545" t="s">
        <v>145</v>
      </c>
      <c r="V19" s="545"/>
      <c r="W19" s="548"/>
    </row>
    <row r="20" spans="1:23" ht="21" customHeight="1" x14ac:dyDescent="0.3">
      <c r="A20" s="183" t="s">
        <v>103</v>
      </c>
      <c r="C20" s="292"/>
      <c r="D20" s="530"/>
      <c r="E20" s="550">
        <f>'Users 1st year'!B36</f>
        <v>0.9</v>
      </c>
      <c r="F20" s="550"/>
      <c r="G20" s="551"/>
      <c r="H20" s="552"/>
      <c r="I20" s="550">
        <v>0.88</v>
      </c>
      <c r="J20" s="550"/>
      <c r="K20" s="553"/>
      <c r="L20" s="552"/>
      <c r="M20" s="550">
        <v>0.86</v>
      </c>
      <c r="N20" s="550"/>
      <c r="O20" s="553"/>
      <c r="P20" s="552"/>
      <c r="Q20" s="550">
        <v>0.84</v>
      </c>
      <c r="R20" s="550"/>
      <c r="S20" s="553"/>
      <c r="T20" s="552"/>
      <c r="U20" s="550">
        <v>0.82</v>
      </c>
      <c r="V20" s="413"/>
      <c r="W20" s="553"/>
    </row>
    <row r="21" spans="1:23" ht="21" customHeight="1" x14ac:dyDescent="0.3">
      <c r="A21" s="183" t="s">
        <v>104</v>
      </c>
      <c r="C21" s="554"/>
      <c r="D21" s="533"/>
      <c r="E21" s="550">
        <f>'Users 1st year'!B37</f>
        <v>0.08</v>
      </c>
      <c r="F21" s="550"/>
      <c r="G21" s="551"/>
      <c r="H21" s="552"/>
      <c r="I21" s="550">
        <v>0.09</v>
      </c>
      <c r="J21" s="550"/>
      <c r="K21" s="553"/>
      <c r="L21" s="552"/>
      <c r="M21" s="550">
        <v>0.1</v>
      </c>
      <c r="N21" s="550"/>
      <c r="O21" s="553"/>
      <c r="P21" s="552"/>
      <c r="Q21" s="550">
        <v>0.11</v>
      </c>
      <c r="R21" s="550"/>
      <c r="S21" s="553"/>
      <c r="T21" s="552"/>
      <c r="U21" s="550">
        <v>0.12</v>
      </c>
      <c r="V21" s="413"/>
      <c r="W21" s="553"/>
    </row>
    <row r="22" spans="1:23" ht="21" customHeight="1" x14ac:dyDescent="0.3">
      <c r="A22" s="183" t="s">
        <v>97</v>
      </c>
      <c r="C22" s="554"/>
      <c r="D22" s="539"/>
      <c r="E22" s="555">
        <f>'Users 1st year'!B38</f>
        <v>0.02</v>
      </c>
      <c r="F22" s="555"/>
      <c r="G22" s="556"/>
      <c r="H22" s="557"/>
      <c r="I22" s="555">
        <v>0.03</v>
      </c>
      <c r="J22" s="555"/>
      <c r="K22" s="558"/>
      <c r="L22" s="557"/>
      <c r="M22" s="555">
        <v>0.04</v>
      </c>
      <c r="N22" s="555"/>
      <c r="O22" s="558"/>
      <c r="P22" s="557"/>
      <c r="Q22" s="555">
        <v>0.05</v>
      </c>
      <c r="R22" s="555"/>
      <c r="S22" s="558"/>
      <c r="T22" s="557"/>
      <c r="U22" s="555">
        <v>0.06</v>
      </c>
      <c r="V22" s="559"/>
      <c r="W22" s="558"/>
    </row>
    <row r="23" spans="1:23" ht="22.2" customHeight="1" x14ac:dyDescent="0.3">
      <c r="A23" s="118" t="s">
        <v>219</v>
      </c>
      <c r="B23" s="595"/>
      <c r="C23" s="560"/>
      <c r="D23" s="539"/>
      <c r="E23" s="555">
        <f>SUM(E20:E22)</f>
        <v>1</v>
      </c>
      <c r="F23" s="555"/>
      <c r="G23" s="556"/>
      <c r="H23" s="557"/>
      <c r="I23" s="555">
        <f>SUM(I20:I22)</f>
        <v>1</v>
      </c>
      <c r="J23" s="559"/>
      <c r="K23" s="556"/>
      <c r="L23" s="561"/>
      <c r="M23" s="555">
        <f>SUM(M20:M22)</f>
        <v>1</v>
      </c>
      <c r="N23" s="559"/>
      <c r="O23" s="556"/>
      <c r="P23" s="561"/>
      <c r="Q23" s="555">
        <f>SUM(Q20:Q22)</f>
        <v>1</v>
      </c>
      <c r="R23" s="559"/>
      <c r="S23" s="556"/>
      <c r="T23" s="561"/>
      <c r="U23" s="555">
        <f>SUM(U20:U22)</f>
        <v>1</v>
      </c>
      <c r="V23" s="559"/>
      <c r="W23" s="556"/>
    </row>
    <row r="24" spans="1:23" ht="22.2" customHeight="1" x14ac:dyDescent="0.3">
      <c r="C24" s="170"/>
      <c r="D24" s="170"/>
      <c r="E24" s="562"/>
      <c r="F24" s="562"/>
      <c r="G24" s="563"/>
      <c r="H24" s="562"/>
      <c r="I24" s="562"/>
      <c r="J24" s="563"/>
      <c r="K24" s="563"/>
      <c r="L24" s="563"/>
      <c r="M24" s="562"/>
      <c r="N24" s="563"/>
      <c r="O24" s="563"/>
      <c r="P24" s="563"/>
      <c r="Q24" s="562"/>
      <c r="R24" s="563"/>
      <c r="S24" s="563"/>
      <c r="T24" s="563"/>
      <c r="U24" s="562"/>
      <c r="V24" s="563"/>
      <c r="W24" s="563"/>
    </row>
    <row r="25" spans="1:23" ht="17.399999999999999" customHeight="1" x14ac:dyDescent="0.3">
      <c r="C25" s="170"/>
      <c r="D25" s="170"/>
      <c r="E25" s="562"/>
      <c r="F25" s="562"/>
      <c r="G25" s="563"/>
      <c r="H25" s="562"/>
      <c r="I25" s="563"/>
      <c r="J25" s="563"/>
      <c r="K25" s="563"/>
      <c r="L25" s="563"/>
      <c r="M25" s="563"/>
      <c r="N25" s="563"/>
      <c r="O25" s="563"/>
      <c r="P25" s="563"/>
      <c r="Q25" s="563"/>
      <c r="R25" s="563"/>
      <c r="S25" s="563"/>
      <c r="T25" s="563"/>
      <c r="U25" s="563"/>
      <c r="V25" s="563"/>
      <c r="W25" s="563"/>
    </row>
    <row r="26" spans="1:23" s="572" customFormat="1" ht="26.4" customHeight="1" x14ac:dyDescent="0.3">
      <c r="A26" s="564" t="s">
        <v>217</v>
      </c>
      <c r="B26" s="565" t="e" vm="7">
        <v>#VALUE!</v>
      </c>
      <c r="C26" s="615" t="e" vm="8">
        <v>#VALUE!</v>
      </c>
      <c r="D26" s="566"/>
      <c r="E26" s="567"/>
      <c r="F26" s="568" t="s">
        <v>38</v>
      </c>
      <c r="G26" s="569"/>
      <c r="H26" s="570"/>
      <c r="I26" s="568"/>
      <c r="J26" s="568" t="s">
        <v>39</v>
      </c>
      <c r="K26" s="571"/>
      <c r="L26" s="570"/>
      <c r="M26" s="568"/>
      <c r="N26" s="568" t="s">
        <v>40</v>
      </c>
      <c r="O26" s="571"/>
      <c r="P26" s="570"/>
      <c r="Q26" s="568"/>
      <c r="R26" s="568" t="s">
        <v>141</v>
      </c>
      <c r="S26" s="571"/>
      <c r="T26" s="570"/>
      <c r="U26" s="568"/>
      <c r="V26" s="568" t="s">
        <v>145</v>
      </c>
      <c r="W26" s="571"/>
    </row>
    <row r="27" spans="1:23" s="572" customFormat="1" ht="25.2" customHeight="1" x14ac:dyDescent="0.3">
      <c r="A27" s="616" t="s">
        <v>236</v>
      </c>
      <c r="B27" s="617"/>
      <c r="C27" s="292"/>
      <c r="D27" s="183"/>
      <c r="E27" s="24"/>
      <c r="F27" s="21"/>
      <c r="G27" s="591"/>
      <c r="H27" s="592"/>
      <c r="I27" s="21"/>
      <c r="J27" s="21"/>
      <c r="K27" s="240"/>
      <c r="L27" s="592"/>
      <c r="M27" s="21"/>
      <c r="N27" s="21"/>
      <c r="O27" s="240"/>
      <c r="P27" s="592"/>
      <c r="Q27" s="21"/>
      <c r="R27" s="21"/>
      <c r="S27" s="240"/>
      <c r="T27" s="592"/>
      <c r="U27" s="21"/>
      <c r="V27" s="21"/>
      <c r="W27" s="240"/>
    </row>
    <row r="28" spans="1:23" s="572" customFormat="1" ht="25.2" customHeight="1" x14ac:dyDescent="0.3">
      <c r="A28" s="616" t="s">
        <v>235</v>
      </c>
      <c r="B28" s="617"/>
      <c r="C28" s="618"/>
      <c r="D28" s="183"/>
      <c r="E28" s="24"/>
      <c r="F28" s="21"/>
      <c r="G28" s="591"/>
      <c r="H28" s="592"/>
      <c r="I28" s="21"/>
      <c r="J28" s="21"/>
      <c r="K28" s="240"/>
      <c r="L28" s="592"/>
      <c r="M28" s="21"/>
      <c r="N28" s="21"/>
      <c r="O28" s="240"/>
      <c r="P28" s="592"/>
      <c r="Q28" s="21"/>
      <c r="R28" s="21"/>
      <c r="S28" s="240"/>
      <c r="T28" s="592"/>
      <c r="U28" s="21"/>
      <c r="V28" s="21"/>
      <c r="W28" s="240"/>
    </row>
    <row r="29" spans="1:23" ht="22.8" customHeight="1" x14ac:dyDescent="0.3">
      <c r="A29" s="17" t="s">
        <v>95</v>
      </c>
      <c r="B29" s="20"/>
      <c r="C29" s="554"/>
      <c r="D29" s="573"/>
      <c r="E29" s="245"/>
      <c r="F29" s="600">
        <f>-F3/E3</f>
        <v>9.0136389547740961E-2</v>
      </c>
      <c r="G29" s="601"/>
      <c r="H29" s="602"/>
      <c r="I29" s="603"/>
      <c r="J29" s="600">
        <f>(69+26)/2/100</f>
        <v>0.47499999999999998</v>
      </c>
      <c r="K29" s="604"/>
      <c r="L29" s="605"/>
      <c r="M29" s="600"/>
      <c r="N29" s="600">
        <f>(65+24)/2/100</f>
        <v>0.44500000000000001</v>
      </c>
      <c r="O29" s="606"/>
      <c r="P29" s="605"/>
      <c r="Q29" s="600"/>
      <c r="R29" s="600">
        <f>(61+22)/2/100</f>
        <v>0.41499999999999998</v>
      </c>
      <c r="S29" s="606"/>
      <c r="T29" s="605"/>
      <c r="U29" s="600"/>
      <c r="V29" s="600">
        <f>(58+20)/2/100</f>
        <v>0.39</v>
      </c>
      <c r="W29" s="606"/>
    </row>
    <row r="30" spans="1:23" ht="22.8" customHeight="1" x14ac:dyDescent="0.3">
      <c r="A30" s="17" t="s">
        <v>96</v>
      </c>
      <c r="B30" s="20"/>
      <c r="C30" s="554"/>
      <c r="D30" s="573"/>
      <c r="E30" s="245"/>
      <c r="F30" s="600">
        <f>-F4/E4</f>
        <v>0.61047346256364443</v>
      </c>
      <c r="G30" s="601"/>
      <c r="H30" s="602"/>
      <c r="I30" s="603"/>
      <c r="J30" s="600">
        <v>0.6</v>
      </c>
      <c r="K30" s="604"/>
      <c r="L30" s="605"/>
      <c r="M30" s="600"/>
      <c r="N30" s="600">
        <v>0.55000000000000004</v>
      </c>
      <c r="O30" s="606"/>
      <c r="P30" s="605"/>
      <c r="Q30" s="600"/>
      <c r="R30" s="600">
        <v>0.5</v>
      </c>
      <c r="S30" s="606"/>
      <c r="T30" s="605"/>
      <c r="U30" s="600"/>
      <c r="V30" s="600">
        <v>0.45</v>
      </c>
      <c r="W30" s="606"/>
    </row>
    <row r="31" spans="1:23" ht="22.8" customHeight="1" x14ac:dyDescent="0.3">
      <c r="A31" s="574" t="s">
        <v>97</v>
      </c>
      <c r="B31" s="599"/>
      <c r="C31" s="560"/>
      <c r="D31" s="575"/>
      <c r="E31" s="576"/>
      <c r="F31" s="607">
        <f>-F5/E5</f>
        <v>0.54924833682253404</v>
      </c>
      <c r="G31" s="608"/>
      <c r="H31" s="609"/>
      <c r="I31" s="610"/>
      <c r="J31" s="611">
        <v>0.36</v>
      </c>
      <c r="K31" s="612"/>
      <c r="L31" s="613"/>
      <c r="M31" s="611"/>
      <c r="N31" s="611">
        <v>0.32</v>
      </c>
      <c r="O31" s="614"/>
      <c r="P31" s="613"/>
      <c r="Q31" s="611"/>
      <c r="R31" s="611">
        <v>0.28999999999999998</v>
      </c>
      <c r="S31" s="614"/>
      <c r="T31" s="613"/>
      <c r="U31" s="611"/>
      <c r="V31" s="611">
        <v>0.26</v>
      </c>
      <c r="W31" s="614"/>
    </row>
    <row r="32" spans="1:23" ht="21" customHeight="1" x14ac:dyDescent="0.3">
      <c r="C32" s="170"/>
      <c r="D32" s="170"/>
      <c r="E32" s="212"/>
      <c r="G32" s="96"/>
      <c r="I32" s="170"/>
      <c r="J32" s="170"/>
      <c r="K32" s="170"/>
      <c r="L32" s="170"/>
      <c r="M32" s="170"/>
      <c r="N32" s="170"/>
      <c r="O32" s="170"/>
      <c r="P32" s="170"/>
      <c r="Q32" s="170"/>
      <c r="R32" s="170"/>
      <c r="S32" s="170"/>
      <c r="T32" s="170"/>
      <c r="U32" s="170"/>
      <c r="V32" s="170"/>
      <c r="W32" s="170"/>
    </row>
    <row r="33" spans="1:23" s="590" customFormat="1" ht="22.2" customHeight="1" x14ac:dyDescent="0.3">
      <c r="A33" s="623" t="s">
        <v>232</v>
      </c>
      <c r="B33" s="624"/>
      <c r="C33" s="625" t="e" vm="9">
        <v>#VALUE!</v>
      </c>
      <c r="D33" s="626"/>
      <c r="E33" s="627"/>
      <c r="F33" s="627"/>
      <c r="G33" s="589" t="s">
        <v>38</v>
      </c>
      <c r="H33" s="625"/>
      <c r="I33" s="625"/>
      <c r="J33" s="625"/>
      <c r="K33" s="589" t="s">
        <v>39</v>
      </c>
      <c r="L33" s="628"/>
      <c r="M33" s="627"/>
      <c r="N33" s="628"/>
      <c r="O33" s="589" t="s">
        <v>40</v>
      </c>
      <c r="P33" s="628"/>
      <c r="Q33" s="627"/>
      <c r="R33" s="628"/>
      <c r="S33" s="589" t="s">
        <v>141</v>
      </c>
      <c r="T33" s="628"/>
      <c r="U33" s="627"/>
      <c r="V33" s="628"/>
      <c r="W33" s="629" t="s">
        <v>145</v>
      </c>
    </row>
    <row r="34" spans="1:23" s="619" customFormat="1" ht="30.6" customHeight="1" x14ac:dyDescent="0.3">
      <c r="A34" s="643" t="s">
        <v>239</v>
      </c>
      <c r="B34" s="630"/>
      <c r="E34" s="621"/>
      <c r="F34" s="621"/>
      <c r="G34" s="620"/>
      <c r="K34" s="620"/>
      <c r="L34" s="621"/>
      <c r="M34" s="621"/>
      <c r="N34" s="621"/>
      <c r="O34" s="620"/>
      <c r="P34" s="621"/>
      <c r="Q34" s="621"/>
      <c r="R34" s="621"/>
      <c r="S34" s="620"/>
      <c r="T34" s="621"/>
      <c r="U34" s="621"/>
      <c r="V34" s="621"/>
      <c r="W34" s="631"/>
    </row>
    <row r="35" spans="1:23" s="619" customFormat="1" ht="18.600000000000001" customHeight="1" x14ac:dyDescent="0.3">
      <c r="A35" s="17" t="s">
        <v>95</v>
      </c>
      <c r="B35" s="632"/>
      <c r="E35" s="621"/>
      <c r="F35" s="621"/>
      <c r="G35" s="622">
        <f>(12*(1-F29/2)*D3+6*(1-F29/2)*E3)/(D3+E3)</f>
        <v>5.729590831356778</v>
      </c>
      <c r="K35" s="622">
        <f>(12*(1-J29/2)*H3+6*(1-J29/2)*I3)/(H3+I3)</f>
        <v>6.9496847180247956</v>
      </c>
      <c r="L35" s="621"/>
      <c r="M35" s="621"/>
      <c r="N35" s="621"/>
      <c r="O35" s="622">
        <f>(12*(1-N29/2)*L3+6*(1-N29/2)*M3)/(L3+M3)</f>
        <v>6.9147262868939068</v>
      </c>
      <c r="P35" s="621"/>
      <c r="Q35" s="621"/>
      <c r="R35" s="621"/>
      <c r="S35" s="622">
        <f>(12*(1-R29/2)*P3+6*(1-R29/2)*Q3)/(P3+Q3)</f>
        <v>7.1267691550449559</v>
      </c>
      <c r="T35" s="621"/>
      <c r="U35" s="621"/>
      <c r="V35" s="621"/>
      <c r="W35" s="633">
        <f>(12*(1-V29/2)*T3+6*(1-V29/2)*U3)/(T3+U3)</f>
        <v>7.4310201124665358</v>
      </c>
    </row>
    <row r="36" spans="1:23" s="619" customFormat="1" ht="18.600000000000001" customHeight="1" x14ac:dyDescent="0.3">
      <c r="A36" s="17" t="s">
        <v>96</v>
      </c>
      <c r="B36" s="632"/>
      <c r="E36" s="621"/>
      <c r="F36" s="621"/>
      <c r="G36" s="622">
        <f>(12*(1-F30/2)*D4+6*(1-F30/2)*E4)/(D4+E4)</f>
        <v>4.1685796123090668</v>
      </c>
      <c r="K36" s="622">
        <f>(12*(1-J30/2)*H4+6*(1-J30/2)*I4)/(H4+I4)</f>
        <v>5.3801426279898443</v>
      </c>
      <c r="L36" s="621"/>
      <c r="M36" s="621"/>
      <c r="N36" s="621"/>
      <c r="O36" s="622">
        <f>(12*(1-N30/2)*L4+6*(1-N30/2)*M4)/(L4+M4)</f>
        <v>5.8528318005689286</v>
      </c>
      <c r="P36" s="621"/>
      <c r="Q36" s="621"/>
      <c r="R36" s="621"/>
      <c r="S36" s="622">
        <f>(12*(1-R30/2)*P4+6*(1-R30/2)*Q4)/(P4+Q4)</f>
        <v>6.2843796285365636</v>
      </c>
      <c r="T36" s="621"/>
      <c r="U36" s="621"/>
      <c r="V36" s="621"/>
      <c r="W36" s="633">
        <f>(12*(1-V30/2)*T4+6*(1-V30/2)*U4)/(T4+U4)</f>
        <v>6.7440007800647619</v>
      </c>
    </row>
    <row r="37" spans="1:23" s="619" customFormat="1" ht="18.600000000000001" customHeight="1" x14ac:dyDescent="0.3">
      <c r="A37" s="574" t="s">
        <v>97</v>
      </c>
      <c r="B37" s="634"/>
      <c r="C37" s="635"/>
      <c r="D37" s="635"/>
      <c r="E37" s="636"/>
      <c r="F37" s="636"/>
      <c r="G37" s="637">
        <f>(12*(1-F31/2)*D5+6*(1-F31/2)*E5)/(D5+E5)</f>
        <v>4.3522549895323976</v>
      </c>
      <c r="H37" s="635"/>
      <c r="I37" s="635"/>
      <c r="J37" s="635"/>
      <c r="K37" s="637">
        <f>(12*(1-J31/2)*H5+6*(1-J31/2)*I5)/(H5+I5)</f>
        <v>6.1147139198780796</v>
      </c>
      <c r="L37" s="636"/>
      <c r="M37" s="636"/>
      <c r="N37" s="636"/>
      <c r="O37" s="637">
        <f>(12*(1-N31/2)*L5+6*(1-N31/2)*M5)/(L5+M5)</f>
        <v>6.7786251045001498</v>
      </c>
      <c r="P37" s="636"/>
      <c r="Q37" s="636"/>
      <c r="R37" s="636"/>
      <c r="S37" s="637">
        <f>(12*(1-R31/2)*P5+6*(1-R31/2)*Q5)/(P5+Q5)</f>
        <v>7.2770221683999718</v>
      </c>
      <c r="T37" s="636"/>
      <c r="U37" s="636"/>
      <c r="V37" s="636"/>
      <c r="W37" s="638">
        <f>(12*(1-V31/2)*T5+6*(1-V31/2)*U5)/(T5+U5)</f>
        <v>7.7538386339009877</v>
      </c>
    </row>
    <row r="38" spans="1:23" s="619" customFormat="1" ht="15" customHeight="1" x14ac:dyDescent="0.3">
      <c r="E38" s="621"/>
      <c r="F38" s="621"/>
      <c r="G38" s="621"/>
      <c r="H38" s="621"/>
      <c r="I38" s="621"/>
      <c r="J38" s="621"/>
      <c r="K38" s="621"/>
      <c r="L38" s="621"/>
      <c r="M38" s="621"/>
      <c r="N38" s="621"/>
      <c r="O38" s="621"/>
      <c r="P38" s="621"/>
      <c r="Q38" s="621"/>
      <c r="R38" s="621"/>
      <c r="S38" s="621"/>
      <c r="T38" s="621"/>
      <c r="U38" s="621"/>
      <c r="V38" s="621"/>
      <c r="W38" s="621"/>
    </row>
    <row r="39" spans="1:23" s="619" customFormat="1" ht="15" customHeight="1" x14ac:dyDescent="0.3">
      <c r="E39" s="621"/>
      <c r="F39" s="621"/>
      <c r="G39" s="621"/>
      <c r="H39" s="621"/>
      <c r="I39" s="621"/>
      <c r="J39" s="621"/>
      <c r="K39" s="621"/>
      <c r="L39" s="621"/>
      <c r="M39" s="621"/>
      <c r="N39" s="621"/>
      <c r="O39" s="621"/>
      <c r="P39" s="621"/>
      <c r="Q39" s="621"/>
      <c r="R39" s="621"/>
      <c r="S39" s="621"/>
      <c r="T39" s="621"/>
      <c r="U39" s="621"/>
      <c r="V39" s="621"/>
      <c r="W39" s="621"/>
    </row>
    <row r="40" spans="1:23" ht="46.2" customHeight="1" x14ac:dyDescent="0.3">
      <c r="A40" s="999" t="s">
        <v>233</v>
      </c>
      <c r="B40" s="999"/>
      <c r="C40" s="999"/>
      <c r="D40" s="999"/>
      <c r="E40" s="999"/>
      <c r="F40" s="999"/>
      <c r="G40" s="999"/>
      <c r="H40" s="999"/>
      <c r="I40" s="999"/>
      <c r="J40" s="577" t="e" vm="10">
        <v>#VALUE!</v>
      </c>
      <c r="K40" s="577"/>
      <c r="L40" s="577"/>
      <c r="M40" s="577"/>
      <c r="N40" s="577"/>
      <c r="O40" s="577"/>
      <c r="P40" s="577"/>
      <c r="Q40" s="577"/>
      <c r="R40" s="577"/>
      <c r="S40" s="577"/>
      <c r="T40" s="577"/>
      <c r="U40" s="577"/>
      <c r="V40" s="577"/>
      <c r="W40" s="577"/>
    </row>
    <row r="41" spans="1:23" ht="56.4" customHeight="1" x14ac:dyDescent="0.3">
      <c r="A41" s="1000" t="s">
        <v>237</v>
      </c>
      <c r="B41" s="1000"/>
      <c r="C41" s="1000"/>
      <c r="D41" s="1000"/>
      <c r="E41" s="1000"/>
      <c r="F41" s="1000"/>
      <c r="G41" s="1000"/>
      <c r="H41" s="1000"/>
      <c r="I41" s="1000"/>
      <c r="J41" s="1000"/>
      <c r="K41" s="1000"/>
      <c r="L41" s="1000"/>
      <c r="M41" s="1000"/>
      <c r="N41" s="1000"/>
      <c r="O41" s="1000"/>
      <c r="P41" s="1000"/>
      <c r="Q41" s="1000"/>
      <c r="R41" s="1000"/>
      <c r="S41" s="1000"/>
      <c r="T41" s="1000"/>
      <c r="U41" s="1000"/>
      <c r="V41" s="1000"/>
      <c r="W41" s="1000"/>
    </row>
    <row r="42" spans="1:23" ht="54" customHeight="1" x14ac:dyDescent="0.3">
      <c r="A42" s="1000" t="s">
        <v>225</v>
      </c>
      <c r="B42" s="1000"/>
      <c r="C42" s="1000"/>
      <c r="D42" s="1000"/>
      <c r="E42" s="1000"/>
      <c r="F42" s="1000"/>
      <c r="G42" s="1000"/>
      <c r="H42" s="1000"/>
      <c r="I42" s="1000"/>
      <c r="J42" s="1000"/>
      <c r="K42" s="1000"/>
      <c r="L42" s="1000"/>
      <c r="M42" s="1000"/>
      <c r="N42" s="1000"/>
      <c r="O42" s="1000"/>
      <c r="P42" s="1000"/>
      <c r="Q42" s="1000"/>
      <c r="R42" s="1000"/>
      <c r="S42" s="1000"/>
      <c r="T42" s="1000"/>
      <c r="U42" s="1000"/>
      <c r="V42" s="1000"/>
      <c r="W42" s="1000"/>
    </row>
    <row r="43" spans="1:23" ht="22.2" customHeight="1" x14ac:dyDescent="0.3">
      <c r="A43" s="20"/>
      <c r="B43" s="20"/>
      <c r="C43" s="20"/>
      <c r="D43" s="20"/>
      <c r="E43" s="20"/>
      <c r="F43" s="20"/>
      <c r="G43" s="20"/>
      <c r="H43" s="20"/>
      <c r="I43" s="20"/>
      <c r="J43" s="20"/>
      <c r="K43" s="20"/>
      <c r="L43" s="20"/>
      <c r="M43" s="20"/>
      <c r="N43" s="20"/>
      <c r="O43" s="20"/>
      <c r="P43" s="20"/>
      <c r="Q43" s="20"/>
      <c r="R43" s="20"/>
      <c r="S43" s="20"/>
      <c r="T43" s="20"/>
      <c r="U43" s="20"/>
      <c r="V43" s="20"/>
      <c r="W43" s="20"/>
    </row>
    <row r="44" spans="1:23" ht="25.8" customHeight="1" x14ac:dyDescent="0.3">
      <c r="A44" s="722" t="s">
        <v>287</v>
      </c>
      <c r="B44" s="723"/>
      <c r="C44" s="724"/>
      <c r="D44" s="1001" t="s">
        <v>38</v>
      </c>
      <c r="E44" s="1002"/>
      <c r="F44" s="1002"/>
      <c r="G44" s="1003"/>
      <c r="H44" s="1001" t="s">
        <v>39</v>
      </c>
      <c r="I44" s="1002"/>
      <c r="J44" s="1002"/>
      <c r="K44" s="1003"/>
      <c r="L44" s="1001" t="s">
        <v>40</v>
      </c>
      <c r="M44" s="1002"/>
      <c r="N44" s="1002"/>
      <c r="O44" s="1003"/>
      <c r="P44" s="1001" t="s">
        <v>141</v>
      </c>
      <c r="Q44" s="1002"/>
      <c r="R44" s="1002"/>
      <c r="S44" s="1003"/>
      <c r="T44" s="1001" t="s">
        <v>145</v>
      </c>
      <c r="U44" s="1002"/>
      <c r="V44" s="1002"/>
      <c r="W44" s="1003"/>
    </row>
    <row r="45" spans="1:23" ht="21" customHeight="1" x14ac:dyDescent="0.3">
      <c r="A45" s="17" t="s">
        <v>95</v>
      </c>
      <c r="B45" s="20"/>
      <c r="C45" s="503"/>
      <c r="D45" s="726"/>
      <c r="E45" s="245"/>
      <c r="F45" s="245"/>
      <c r="G45" s="727">
        <f>'Users 1st year'!BA3/12</f>
        <v>2571.6654950467914</v>
      </c>
      <c r="H45" s="504"/>
      <c r="I45" s="247"/>
      <c r="J45" s="247"/>
      <c r="K45" s="727">
        <f>(H3+L3)/2</f>
        <v>6252.0129676428196</v>
      </c>
      <c r="L45" s="504"/>
      <c r="M45" s="247"/>
      <c r="N45" s="247"/>
      <c r="O45" s="727">
        <f t="shared" ref="O45:O47" si="6">(L3+P3)/2</f>
        <v>8245.2686504793728</v>
      </c>
      <c r="P45" s="504"/>
      <c r="Q45" s="247"/>
      <c r="R45" s="247"/>
      <c r="S45" s="727">
        <f t="shared" ref="S45:S47" si="7">(P3+T3)/2</f>
        <v>11418.359260592464</v>
      </c>
      <c r="T45" s="504"/>
      <c r="U45" s="247"/>
      <c r="V45" s="247"/>
      <c r="W45" s="727">
        <f t="shared" ref="W45:W47" si="8">(T3+X3)/2</f>
        <v>15232.884307333541</v>
      </c>
    </row>
    <row r="46" spans="1:23" ht="21" customHeight="1" x14ac:dyDescent="0.3">
      <c r="A46" s="17" t="s">
        <v>96</v>
      </c>
      <c r="B46" s="20"/>
      <c r="C46" s="503"/>
      <c r="D46" s="726"/>
      <c r="E46" s="245"/>
      <c r="F46" s="245"/>
      <c r="G46" s="727">
        <f>'Users 1st year'!BA4/12</f>
        <v>141.3979269121636</v>
      </c>
      <c r="H46" s="504"/>
      <c r="I46" s="247"/>
      <c r="J46" s="247"/>
      <c r="K46" s="727">
        <f t="shared" ref="K46:K47" si="9">(H4+L4)/2</f>
        <v>331.10448926836744</v>
      </c>
      <c r="L46" s="504"/>
      <c r="M46" s="247"/>
      <c r="N46" s="247"/>
      <c r="O46" s="727">
        <f t="shared" si="6"/>
        <v>641.93085126739015</v>
      </c>
      <c r="P46" s="504"/>
      <c r="Q46" s="247"/>
      <c r="R46" s="247"/>
      <c r="S46" s="727">
        <f t="shared" si="7"/>
        <v>1095.0800535066755</v>
      </c>
      <c r="T46" s="504"/>
      <c r="U46" s="247"/>
      <c r="V46" s="247"/>
      <c r="W46" s="727">
        <f t="shared" si="8"/>
        <v>1698.5172715842796</v>
      </c>
    </row>
    <row r="47" spans="1:23" ht="21" customHeight="1" x14ac:dyDescent="0.3">
      <c r="A47" s="574" t="s">
        <v>97</v>
      </c>
      <c r="B47" s="20"/>
      <c r="C47" s="503"/>
      <c r="D47" s="726"/>
      <c r="E47" s="245"/>
      <c r="F47" s="245"/>
      <c r="G47" s="728">
        <f>'Users 1st year'!BA5/12</f>
        <v>36.019423282377936</v>
      </c>
      <c r="H47" s="504"/>
      <c r="I47" s="247"/>
      <c r="J47" s="247"/>
      <c r="K47" s="728">
        <f t="shared" si="9"/>
        <v>119.11563849264228</v>
      </c>
      <c r="L47" s="504"/>
      <c r="M47" s="247"/>
      <c r="N47" s="247"/>
      <c r="O47" s="728">
        <f t="shared" si="6"/>
        <v>297.1552251630718</v>
      </c>
      <c r="P47" s="504"/>
      <c r="Q47" s="247"/>
      <c r="R47" s="247"/>
      <c r="S47" s="728">
        <f t="shared" si="7"/>
        <v>598.18890948474677</v>
      </c>
      <c r="T47" s="504"/>
      <c r="U47" s="247"/>
      <c r="V47" s="247"/>
      <c r="W47" s="728">
        <f t="shared" si="8"/>
        <v>1043.002350176984</v>
      </c>
    </row>
    <row r="48" spans="1:23" ht="21" customHeight="1" x14ac:dyDescent="0.3">
      <c r="A48" s="574" t="s">
        <v>219</v>
      </c>
      <c r="B48" s="599"/>
      <c r="C48" s="725"/>
      <c r="D48" s="512"/>
      <c r="E48" s="210"/>
      <c r="F48" s="210"/>
      <c r="G48" s="538">
        <f>SUM(G45:G47)</f>
        <v>2749.082845241333</v>
      </c>
      <c r="H48" s="541"/>
      <c r="I48" s="206"/>
      <c r="J48" s="206"/>
      <c r="K48" s="538">
        <f>SUM(K45:K47)</f>
        <v>6702.2330954038298</v>
      </c>
      <c r="L48" s="541"/>
      <c r="M48" s="206"/>
      <c r="N48" s="206"/>
      <c r="O48" s="538">
        <f>SUM(O45:O47)</f>
        <v>9184.3547269098344</v>
      </c>
      <c r="P48" s="541"/>
      <c r="Q48" s="206"/>
      <c r="R48" s="206"/>
      <c r="S48" s="538">
        <f>SUM(S45:S47)</f>
        <v>13111.628223583886</v>
      </c>
      <c r="T48" s="541"/>
      <c r="U48" s="206"/>
      <c r="V48" s="206"/>
      <c r="W48" s="538">
        <f>SUM(W45:W47)</f>
        <v>17974.403929094802</v>
      </c>
    </row>
    <row r="49" spans="1:23" ht="15" customHeight="1" x14ac:dyDescent="0.3">
      <c r="A49" s="20"/>
      <c r="B49" s="20"/>
      <c r="C49" s="20"/>
      <c r="D49" s="66"/>
      <c r="E49" s="66"/>
      <c r="F49" s="66"/>
      <c r="G49" s="66"/>
      <c r="H49" s="66"/>
      <c r="I49" s="66"/>
      <c r="J49" s="66"/>
      <c r="K49" s="66"/>
      <c r="L49" s="66"/>
      <c r="M49" s="66"/>
      <c r="N49" s="66"/>
      <c r="O49" s="66"/>
      <c r="P49" s="66"/>
      <c r="Q49" s="66"/>
      <c r="R49" s="66"/>
      <c r="S49" s="66"/>
      <c r="T49" s="66"/>
      <c r="U49" s="66"/>
      <c r="V49" s="66"/>
      <c r="W49" s="66"/>
    </row>
    <row r="50" spans="1:23" x14ac:dyDescent="0.3">
      <c r="C50" s="170"/>
      <c r="D50" s="170"/>
    </row>
  </sheetData>
  <mergeCells count="13">
    <mergeCell ref="D44:G44"/>
    <mergeCell ref="H44:K44"/>
    <mergeCell ref="L44:O44"/>
    <mergeCell ref="P44:S44"/>
    <mergeCell ref="T44:W44"/>
    <mergeCell ref="A40:I40"/>
    <mergeCell ref="A41:W41"/>
    <mergeCell ref="A42:W42"/>
    <mergeCell ref="D1:G1"/>
    <mergeCell ref="H1:K1"/>
    <mergeCell ref="L1:O1"/>
    <mergeCell ref="P1:S1"/>
    <mergeCell ref="T1:W1"/>
  </mergeCells>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0146-5194-4AAF-8650-B018811AE19E}">
  <dimension ref="A1:R62"/>
  <sheetViews>
    <sheetView workbookViewId="0">
      <pane ySplit="1" topLeftCell="A17" activePane="bottomLeft" state="frozen"/>
      <selection pane="bottomLeft" activeCell="C19" sqref="C19:I31"/>
    </sheetView>
  </sheetViews>
  <sheetFormatPr defaultRowHeight="12.6" x14ac:dyDescent="0.3"/>
  <cols>
    <col min="1" max="1" width="37.44140625" style="16" customWidth="1"/>
    <col min="2" max="2" width="10.33203125" style="16" customWidth="1"/>
    <col min="3" max="14" width="10.109375" style="16" customWidth="1"/>
    <col min="15" max="15" width="4.44140625" style="16" customWidth="1"/>
    <col min="16" max="16" width="13.21875" style="16" customWidth="1"/>
    <col min="17" max="16384" width="8.88671875" style="16"/>
  </cols>
  <sheetData>
    <row r="1" spans="1:17" s="289" customFormat="1" ht="26.4" customHeight="1" x14ac:dyDescent="0.3">
      <c r="A1" s="416" t="s">
        <v>113</v>
      </c>
      <c r="B1" s="285" t="s">
        <v>28</v>
      </c>
      <c r="C1" s="284" t="s">
        <v>8</v>
      </c>
      <c r="D1" s="284" t="s">
        <v>9</v>
      </c>
      <c r="E1" s="284" t="s">
        <v>10</v>
      </c>
      <c r="F1" s="284" t="s">
        <v>11</v>
      </c>
      <c r="G1" s="284" t="s">
        <v>12</v>
      </c>
      <c r="H1" s="284" t="s">
        <v>13</v>
      </c>
      <c r="I1" s="284" t="s">
        <v>14</v>
      </c>
      <c r="J1" s="284" t="s">
        <v>15</v>
      </c>
      <c r="K1" s="284" t="s">
        <v>16</v>
      </c>
      <c r="L1" s="284" t="s">
        <v>17</v>
      </c>
      <c r="M1" s="284" t="s">
        <v>18</v>
      </c>
      <c r="N1" s="286" t="s">
        <v>19</v>
      </c>
      <c r="O1" s="287"/>
      <c r="P1" s="286" t="s">
        <v>20</v>
      </c>
      <c r="Q1" s="288"/>
    </row>
    <row r="2" spans="1:17" s="24" customFormat="1" ht="23.4" customHeight="1" x14ac:dyDescent="0.3">
      <c r="A2" s="417" t="str">
        <f>'Founder expnt'!A7</f>
        <v>Existing prototype (not deployed)</v>
      </c>
      <c r="B2" s="290">
        <f>'Founder expnt'!B7</f>
        <v>6468.3600000000006</v>
      </c>
      <c r="C2" s="239"/>
      <c r="D2" s="239"/>
      <c r="E2" s="239"/>
      <c r="F2" s="239"/>
      <c r="G2" s="239"/>
      <c r="H2" s="239"/>
      <c r="I2" s="239"/>
      <c r="J2" s="239"/>
      <c r="K2" s="239"/>
      <c r="L2" s="239"/>
      <c r="M2" s="239"/>
      <c r="N2" s="415"/>
      <c r="O2" s="21"/>
      <c r="P2" s="415"/>
      <c r="Q2" s="21"/>
    </row>
    <row r="3" spans="1:17" s="14" customFormat="1" ht="21.6" customHeight="1" x14ac:dyDescent="0.3">
      <c r="A3" s="302" t="str">
        <f>'Founder expnt'!A8</f>
        <v>Company formation - Founder paid</v>
      </c>
      <c r="B3" s="290">
        <f>'Founder expnt'!B8</f>
        <v>55.08</v>
      </c>
      <c r="C3" s="244"/>
      <c r="D3" s="244"/>
      <c r="E3" s="244"/>
      <c r="F3" s="244"/>
      <c r="G3" s="244"/>
      <c r="H3" s="244"/>
      <c r="I3" s="244"/>
      <c r="J3" s="244"/>
      <c r="K3" s="244"/>
      <c r="L3" s="244"/>
      <c r="M3" s="244"/>
      <c r="N3" s="291"/>
      <c r="O3" s="246"/>
      <c r="P3" s="290"/>
      <c r="Q3" s="246"/>
    </row>
    <row r="4" spans="1:17" s="14" customFormat="1" ht="21.6" customHeight="1" x14ac:dyDescent="0.3">
      <c r="A4" s="302" t="str">
        <f>'Founder expnt'!A9</f>
        <v>Legal advice - Founder paid</v>
      </c>
      <c r="B4" s="290">
        <f>'Founder expnt'!B9</f>
        <v>54</v>
      </c>
      <c r="C4" s="244"/>
      <c r="D4" s="244"/>
      <c r="E4" s="244"/>
      <c r="F4" s="244"/>
      <c r="G4" s="244"/>
      <c r="H4" s="244"/>
      <c r="I4" s="244"/>
      <c r="J4" s="244"/>
      <c r="K4" s="244"/>
      <c r="L4" s="244"/>
      <c r="M4" s="244"/>
      <c r="N4" s="291"/>
      <c r="O4" s="246"/>
      <c r="P4" s="290"/>
      <c r="Q4" s="246"/>
    </row>
    <row r="5" spans="1:17" s="14" customFormat="1" ht="21.6" customHeight="1" x14ac:dyDescent="0.3">
      <c r="A5" s="302" t="str">
        <f>'Founder expnt'!A10</f>
        <v>Registered office - Founder paid</v>
      </c>
      <c r="B5" s="290">
        <f>'Founder expnt'!B10</f>
        <v>202</v>
      </c>
      <c r="C5" s="244"/>
      <c r="D5" s="244"/>
      <c r="E5" s="244"/>
      <c r="F5" s="244"/>
      <c r="G5" s="244"/>
      <c r="H5" s="244"/>
      <c r="I5" s="244"/>
      <c r="J5" s="244"/>
      <c r="K5" s="244"/>
      <c r="L5" s="244"/>
      <c r="M5" s="244"/>
      <c r="N5" s="291"/>
      <c r="O5" s="246"/>
      <c r="P5" s="290"/>
      <c r="Q5" s="246"/>
    </row>
    <row r="6" spans="1:17" s="14" customFormat="1" ht="21.6" customHeight="1" x14ac:dyDescent="0.3">
      <c r="A6" s="302" t="str">
        <f>'Founder expnt'!A11</f>
        <v>Advertising (approx. spent) - Founder paid</v>
      </c>
      <c r="B6" s="290">
        <f>'Founder expnt'!B11</f>
        <v>1800</v>
      </c>
      <c r="C6" s="244"/>
      <c r="D6" s="244"/>
      <c r="E6" s="244"/>
      <c r="F6" s="244"/>
      <c r="G6" s="244"/>
      <c r="H6" s="244"/>
      <c r="I6" s="244"/>
      <c r="J6" s="244"/>
      <c r="K6" s="244"/>
      <c r="L6" s="244"/>
      <c r="M6" s="244"/>
      <c r="N6" s="291"/>
      <c r="O6" s="246"/>
      <c r="P6" s="290"/>
      <c r="Q6" s="246"/>
    </row>
    <row r="7" spans="1:17" s="14" customFormat="1" ht="21.6" customHeight="1" x14ac:dyDescent="0.3">
      <c r="A7" s="302" t="str">
        <f>'Founder expnt'!A12</f>
        <v>Domain annual (Wix: thefoundersjunction.com) - Founder paid</v>
      </c>
      <c r="B7" s="290">
        <f>'Founder expnt'!B12</f>
        <v>34.53</v>
      </c>
      <c r="C7" s="244"/>
      <c r="D7" s="244"/>
      <c r="E7" s="244"/>
      <c r="F7" s="244"/>
      <c r="G7" s="244"/>
      <c r="H7" s="244"/>
      <c r="I7" s="244"/>
      <c r="J7" s="244"/>
      <c r="K7" s="244"/>
      <c r="L7" s="244"/>
      <c r="M7" s="244"/>
      <c r="N7" s="291"/>
      <c r="O7" s="246"/>
      <c r="P7" s="290"/>
      <c r="Q7" s="246"/>
    </row>
    <row r="8" spans="1:17" s="14" customFormat="1" ht="21.6" customHeight="1" x14ac:dyDescent="0.3">
      <c r="A8" s="302" t="str">
        <f>'Founder expnt'!A13</f>
        <v>Hosting space (Wix) - Founder paid</v>
      </c>
      <c r="B8" s="290">
        <f>'Founder expnt'!B13</f>
        <v>226.8</v>
      </c>
      <c r="C8" s="244"/>
      <c r="D8" s="244"/>
      <c r="E8" s="244"/>
      <c r="F8" s="244"/>
      <c r="G8" s="244"/>
      <c r="H8" s="244"/>
      <c r="I8" s="244"/>
      <c r="J8" s="244"/>
      <c r="K8" s="244"/>
      <c r="L8" s="244"/>
      <c r="M8" s="244"/>
      <c r="N8" s="291"/>
      <c r="O8" s="246"/>
      <c r="P8" s="290"/>
      <c r="Q8" s="246"/>
    </row>
    <row r="9" spans="1:17" s="14" customFormat="1" ht="21.6" customHeight="1" x14ac:dyDescent="0.3">
      <c r="A9" s="302" t="str">
        <f>'Founder expnt'!A14</f>
        <v>Wix email marketing - Founder paid</v>
      </c>
      <c r="B9" s="290">
        <f>'Founder expnt'!B14</f>
        <v>267.56</v>
      </c>
      <c r="C9" s="244"/>
      <c r="D9" s="244"/>
      <c r="E9" s="244"/>
      <c r="F9" s="244"/>
      <c r="G9" s="244"/>
      <c r="H9" s="244"/>
      <c r="I9" s="244"/>
      <c r="J9" s="244"/>
      <c r="K9" s="244"/>
      <c r="L9" s="244"/>
      <c r="M9" s="244"/>
      <c r="N9" s="291"/>
      <c r="O9" s="246"/>
      <c r="P9" s="290"/>
      <c r="Q9" s="246"/>
    </row>
    <row r="10" spans="1:17" s="14" customFormat="1" ht="21.6" customHeight="1" x14ac:dyDescent="0.3">
      <c r="A10" s="302" t="str">
        <f>'Founder expnt'!A15</f>
        <v>Email address + Google workspace - Founder paid</v>
      </c>
      <c r="B10" s="290">
        <f>'Founder expnt'!B15</f>
        <v>133.24799999999999</v>
      </c>
      <c r="C10" s="244"/>
      <c r="D10" s="244"/>
      <c r="E10" s="244"/>
      <c r="F10" s="244"/>
      <c r="G10" s="244"/>
      <c r="H10" s="244"/>
      <c r="I10" s="244"/>
      <c r="J10" s="244"/>
      <c r="K10" s="244"/>
      <c r="L10" s="244"/>
      <c r="M10" s="244"/>
      <c r="N10" s="291"/>
      <c r="O10" s="246"/>
      <c r="P10" s="290"/>
      <c r="Q10" s="246"/>
    </row>
    <row r="11" spans="1:17" s="14" customFormat="1" ht="21.6" customHeight="1" x14ac:dyDescent="0.3">
      <c r="A11" s="302" t="str">
        <f>'Founder expnt'!A16</f>
        <v>Domain (OVH: thefoundersjunction.network) - Founder paid</v>
      </c>
      <c r="B11" s="290">
        <f>'Founder expnt'!B16</f>
        <v>9.0839999999999996</v>
      </c>
      <c r="C11" s="244"/>
      <c r="D11" s="244"/>
      <c r="E11" s="244"/>
      <c r="F11" s="244"/>
      <c r="G11" s="244"/>
      <c r="H11" s="244"/>
      <c r="I11" s="244"/>
      <c r="J11" s="244"/>
      <c r="K11" s="244"/>
      <c r="L11" s="244"/>
      <c r="M11" s="244"/>
      <c r="N11" s="291"/>
      <c r="O11" s="246"/>
      <c r="P11" s="290"/>
      <c r="Q11" s="246"/>
    </row>
    <row r="12" spans="1:17" s="14" customFormat="1" ht="21.6" customHeight="1" x14ac:dyDescent="0.3">
      <c r="A12" s="302" t="str">
        <f>'Founder expnt'!A17</f>
        <v>Hosting space (OVH) - Founder paid</v>
      </c>
      <c r="B12" s="290">
        <f>'Founder expnt'!B17</f>
        <v>138.096</v>
      </c>
      <c r="C12" s="244"/>
      <c r="D12" s="244"/>
      <c r="E12" s="244"/>
      <c r="F12" s="244"/>
      <c r="G12" s="244"/>
      <c r="H12" s="244"/>
      <c r="I12" s="244"/>
      <c r="J12" s="244"/>
      <c r="K12" s="244"/>
      <c r="L12" s="244"/>
      <c r="M12" s="244"/>
      <c r="N12" s="291"/>
      <c r="O12" s="246"/>
      <c r="P12" s="290"/>
      <c r="Q12" s="246"/>
    </row>
    <row r="13" spans="1:17" s="14" customFormat="1" ht="21.6" customHeight="1" x14ac:dyDescent="0.3">
      <c r="A13" s="302" t="str">
        <f>'Founder expnt'!A18</f>
        <v>Stackblitz: AI developing tool - Founder paid</v>
      </c>
      <c r="B13" s="290">
        <f>'Founder expnt'!B18</f>
        <v>66.59</v>
      </c>
      <c r="C13" s="244"/>
      <c r="D13" s="244"/>
      <c r="E13" s="244"/>
      <c r="F13" s="244"/>
      <c r="G13" s="244"/>
      <c r="H13" s="244"/>
      <c r="I13" s="244"/>
      <c r="J13" s="244"/>
      <c r="K13" s="244"/>
      <c r="L13" s="244"/>
      <c r="M13" s="244"/>
      <c r="N13" s="291"/>
      <c r="O13" s="246"/>
      <c r="P13" s="290"/>
      <c r="Q13" s="246"/>
    </row>
    <row r="14" spans="1:17" s="14" customFormat="1" ht="21.6" customHeight="1" x14ac:dyDescent="0.3">
      <c r="A14" s="302" t="str">
        <f>'Founder expnt'!A19</f>
        <v>ID verification: Idenfy pre-reg verifications - Founder paid</v>
      </c>
      <c r="B14" s="290">
        <f>'Founder expnt'!B19</f>
        <v>900</v>
      </c>
      <c r="C14" s="244"/>
      <c r="D14" s="244"/>
      <c r="E14" s="244"/>
      <c r="F14" s="244"/>
      <c r="G14" s="244"/>
      <c r="H14" s="244"/>
      <c r="I14" s="244"/>
      <c r="J14" s="244"/>
      <c r="K14" s="244"/>
      <c r="L14" s="244"/>
      <c r="M14" s="244"/>
      <c r="N14" s="291"/>
      <c r="O14" s="246"/>
      <c r="P14" s="290"/>
      <c r="Q14" s="246"/>
    </row>
    <row r="15" spans="1:17" s="14" customFormat="1" ht="21.6" customHeight="1" x14ac:dyDescent="0.3">
      <c r="A15" s="302" t="str">
        <f>'Founder expnt'!A20</f>
        <v>ID verification: yearly extension - Founder paid</v>
      </c>
      <c r="B15" s="290">
        <f>'Founder expnt'!B20</f>
        <v>250</v>
      </c>
      <c r="C15" s="244"/>
      <c r="D15" s="244"/>
      <c r="E15" s="244"/>
      <c r="F15" s="244"/>
      <c r="G15" s="244"/>
      <c r="H15" s="244"/>
      <c r="I15" s="244"/>
      <c r="J15" s="244"/>
      <c r="K15" s="244"/>
      <c r="L15" s="244"/>
      <c r="M15" s="244"/>
      <c r="N15" s="291"/>
      <c r="O15" s="246"/>
      <c r="P15" s="290"/>
      <c r="Q15" s="246"/>
    </row>
    <row r="16" spans="1:17" s="14" customFormat="1" ht="21.6" customHeight="1" x14ac:dyDescent="0.3">
      <c r="A16" s="302" t="str">
        <f>'Founder expnt'!A21</f>
        <v>Accountant's fees - Founder paid</v>
      </c>
      <c r="B16" s="290">
        <f>'Founder expnt'!B21</f>
        <v>1440</v>
      </c>
      <c r="C16" s="244"/>
      <c r="D16" s="244"/>
      <c r="E16" s="244"/>
      <c r="F16" s="244"/>
      <c r="G16" s="244"/>
      <c r="H16" s="244"/>
      <c r="I16" s="244"/>
      <c r="J16" s="244"/>
      <c r="K16" s="244"/>
      <c r="L16" s="244"/>
      <c r="M16" s="244"/>
      <c r="N16" s="291"/>
      <c r="O16" s="246"/>
      <c r="P16" s="290"/>
      <c r="Q16" s="246"/>
    </row>
    <row r="17" spans="1:18" s="14" customFormat="1" ht="21.6" customHeight="1" x14ac:dyDescent="0.3">
      <c r="A17" s="302" t="str">
        <f>'Founder expnt'!A22</f>
        <v>ICO annual registration - Founder paid</v>
      </c>
      <c r="B17" s="290">
        <f>'Founder expnt'!B22</f>
        <v>40</v>
      </c>
      <c r="C17" s="244"/>
      <c r="D17" s="244"/>
      <c r="E17" s="244"/>
      <c r="F17" s="244"/>
      <c r="G17" s="244"/>
      <c r="H17" s="244"/>
      <c r="I17" s="244"/>
      <c r="J17" s="244"/>
      <c r="K17" s="244"/>
      <c r="L17" s="244"/>
      <c r="M17" s="244"/>
      <c r="N17" s="291"/>
      <c r="O17" s="246"/>
      <c r="P17" s="290"/>
      <c r="Q17" s="246"/>
    </row>
    <row r="18" spans="1:18" s="14" customFormat="1" ht="21.6" customHeight="1" x14ac:dyDescent="0.3">
      <c r="A18" s="302" t="str">
        <f>'Founder expnt'!A23</f>
        <v>EEA &amp; CH representative GDPR - Founder paid</v>
      </c>
      <c r="B18" s="290">
        <f>'Founder expnt'!B23</f>
        <v>553.44000000000005</v>
      </c>
      <c r="C18" s="244"/>
      <c r="D18" s="244"/>
      <c r="E18" s="244"/>
      <c r="F18" s="244"/>
      <c r="G18" s="244"/>
      <c r="H18" s="244"/>
      <c r="I18" s="244"/>
      <c r="J18" s="244"/>
      <c r="K18" s="244"/>
      <c r="L18" s="244"/>
      <c r="M18" s="244"/>
      <c r="N18" s="291"/>
      <c r="O18" s="246"/>
      <c r="P18" s="290"/>
      <c r="Q18" s="246"/>
    </row>
    <row r="19" spans="1:18" s="14" customFormat="1" ht="21.6" customHeight="1" x14ac:dyDescent="0.3">
      <c r="A19" s="303" t="s">
        <v>352</v>
      </c>
      <c r="B19" s="290"/>
      <c r="C19" s="290">
        <f>'Computs fore costs'!D34</f>
        <v>1000</v>
      </c>
      <c r="D19" s="290">
        <f>'Computs fore costs'!H34</f>
        <v>1000</v>
      </c>
      <c r="E19" s="290">
        <f>'Computs fore costs'!M34</f>
        <v>4000</v>
      </c>
      <c r="F19" s="290">
        <f>'Computs fore costs'!S34</f>
        <v>3800</v>
      </c>
      <c r="G19" s="290">
        <f>'Computs fore costs'!W34</f>
        <v>6000</v>
      </c>
      <c r="H19" s="290">
        <f>'Computs fore costs'!AA34</f>
        <v>4600</v>
      </c>
      <c r="I19" s="290">
        <f>'Computs fore costs'!AE34</f>
        <v>5400</v>
      </c>
      <c r="J19" s="290">
        <f>'Computs fore costs'!AI34</f>
        <v>5900</v>
      </c>
      <c r="K19" s="290">
        <f>'Computs fore costs'!AM34</f>
        <v>5800</v>
      </c>
      <c r="L19" s="290">
        <f>'Computs fore costs'!AQ34</f>
        <v>4900</v>
      </c>
      <c r="M19" s="290">
        <f>'Computs fore costs'!AU34</f>
        <v>4900</v>
      </c>
      <c r="N19" s="290">
        <f>'Computs fore costs'!AY34</f>
        <v>4700</v>
      </c>
      <c r="O19" s="18"/>
      <c r="P19" s="290">
        <f>SUM(C19:O19)</f>
        <v>52000</v>
      </c>
      <c r="Q19" s="246"/>
      <c r="R19" s="752"/>
    </row>
    <row r="20" spans="1:18" s="14" customFormat="1" ht="21.6" customHeight="1" x14ac:dyDescent="0.3">
      <c r="A20" s="303" t="s">
        <v>91</v>
      </c>
      <c r="B20" s="290"/>
      <c r="C20" s="290">
        <f>'Computs fore costs'!B19/12</f>
        <v>18</v>
      </c>
      <c r="D20" s="290">
        <f>C20</f>
        <v>18</v>
      </c>
      <c r="E20" s="290">
        <f t="shared" ref="E20:N22" si="0">D20</f>
        <v>18</v>
      </c>
      <c r="F20" s="290">
        <f t="shared" si="0"/>
        <v>18</v>
      </c>
      <c r="G20" s="290">
        <f t="shared" si="0"/>
        <v>18</v>
      </c>
      <c r="H20" s="290">
        <f t="shared" si="0"/>
        <v>18</v>
      </c>
      <c r="I20" s="290">
        <f t="shared" si="0"/>
        <v>18</v>
      </c>
      <c r="J20" s="290">
        <f t="shared" si="0"/>
        <v>18</v>
      </c>
      <c r="K20" s="290">
        <f t="shared" si="0"/>
        <v>18</v>
      </c>
      <c r="L20" s="290">
        <f t="shared" si="0"/>
        <v>18</v>
      </c>
      <c r="M20" s="290">
        <f t="shared" si="0"/>
        <v>18</v>
      </c>
      <c r="N20" s="290">
        <f t="shared" si="0"/>
        <v>18</v>
      </c>
      <c r="O20" s="18"/>
      <c r="P20" s="290">
        <f t="shared" ref="P20:P31" si="1">SUM(C20:O20)</f>
        <v>216</v>
      </c>
      <c r="Q20" s="246"/>
    </row>
    <row r="21" spans="1:18" s="14" customFormat="1" ht="21.6" customHeight="1" x14ac:dyDescent="0.3">
      <c r="A21" s="303" t="s">
        <v>376</v>
      </c>
      <c r="B21" s="290"/>
      <c r="C21" s="290">
        <v>2500</v>
      </c>
      <c r="D21" s="290">
        <f>C21</f>
        <v>2500</v>
      </c>
      <c r="E21" s="290">
        <f t="shared" si="0"/>
        <v>2500</v>
      </c>
      <c r="F21" s="290">
        <f t="shared" si="0"/>
        <v>2500</v>
      </c>
      <c r="G21" s="290">
        <f t="shared" si="0"/>
        <v>2500</v>
      </c>
      <c r="H21" s="290">
        <f t="shared" si="0"/>
        <v>2500</v>
      </c>
      <c r="I21" s="290">
        <f t="shared" si="0"/>
        <v>2500</v>
      </c>
      <c r="J21" s="290">
        <f t="shared" si="0"/>
        <v>2500</v>
      </c>
      <c r="K21" s="290">
        <f t="shared" si="0"/>
        <v>2500</v>
      </c>
      <c r="L21" s="290">
        <f t="shared" si="0"/>
        <v>2500</v>
      </c>
      <c r="M21" s="290">
        <f t="shared" si="0"/>
        <v>2500</v>
      </c>
      <c r="N21" s="290">
        <f t="shared" si="0"/>
        <v>2500</v>
      </c>
      <c r="O21" s="18"/>
      <c r="P21" s="290">
        <f t="shared" si="1"/>
        <v>30000</v>
      </c>
      <c r="Q21" s="246"/>
    </row>
    <row r="22" spans="1:18" s="14" customFormat="1" ht="21.6" customHeight="1" x14ac:dyDescent="0.3">
      <c r="A22" s="303" t="s">
        <v>377</v>
      </c>
      <c r="B22" s="290"/>
      <c r="C22" s="290">
        <v>2500</v>
      </c>
      <c r="D22" s="290">
        <f>C22</f>
        <v>2500</v>
      </c>
      <c r="E22" s="290">
        <f t="shared" si="0"/>
        <v>2500</v>
      </c>
      <c r="F22" s="290">
        <f t="shared" si="0"/>
        <v>2500</v>
      </c>
      <c r="G22" s="290">
        <f t="shared" si="0"/>
        <v>2500</v>
      </c>
      <c r="H22" s="290">
        <f t="shared" si="0"/>
        <v>2500</v>
      </c>
      <c r="I22" s="290">
        <f t="shared" si="0"/>
        <v>2500</v>
      </c>
      <c r="J22" s="290">
        <f t="shared" si="0"/>
        <v>2500</v>
      </c>
      <c r="K22" s="290">
        <f t="shared" si="0"/>
        <v>2500</v>
      </c>
      <c r="L22" s="290">
        <f t="shared" si="0"/>
        <v>2500</v>
      </c>
      <c r="M22" s="290">
        <f t="shared" si="0"/>
        <v>2500</v>
      </c>
      <c r="N22" s="290">
        <f t="shared" si="0"/>
        <v>2500</v>
      </c>
      <c r="O22" s="18"/>
      <c r="P22" s="290">
        <f t="shared" si="1"/>
        <v>30000</v>
      </c>
      <c r="Q22" s="246"/>
    </row>
    <row r="23" spans="1:18" s="14" customFormat="1" ht="21.6" customHeight="1" x14ac:dyDescent="0.3">
      <c r="A23" s="303" t="s">
        <v>124</v>
      </c>
      <c r="B23" s="290"/>
      <c r="C23" s="290">
        <f>'Computs fore costs'!B20</f>
        <v>216.75018249999999</v>
      </c>
      <c r="D23" s="290"/>
      <c r="E23" s="290"/>
      <c r="F23" s="290"/>
      <c r="G23" s="290"/>
      <c r="H23" s="290"/>
      <c r="I23" s="290"/>
      <c r="J23" s="290"/>
      <c r="K23" s="290"/>
      <c r="L23" s="290"/>
      <c r="M23" s="290"/>
      <c r="N23" s="290"/>
      <c r="O23" s="18"/>
      <c r="P23" s="290">
        <f t="shared" si="1"/>
        <v>216.75018249999999</v>
      </c>
      <c r="Q23" s="246"/>
    </row>
    <row r="24" spans="1:18" s="14" customFormat="1" ht="21.6" customHeight="1" x14ac:dyDescent="0.3">
      <c r="A24" s="303" t="s">
        <v>168</v>
      </c>
      <c r="B24" s="290"/>
      <c r="C24" s="290">
        <f>'Computs fore costs'!B10/12</f>
        <v>0.83333333333333337</v>
      </c>
      <c r="D24" s="290">
        <f t="shared" ref="D24:N24" si="2">C24</f>
        <v>0.83333333333333337</v>
      </c>
      <c r="E24" s="290">
        <f t="shared" si="2"/>
        <v>0.83333333333333337</v>
      </c>
      <c r="F24" s="290">
        <f t="shared" si="2"/>
        <v>0.83333333333333337</v>
      </c>
      <c r="G24" s="290">
        <f t="shared" si="2"/>
        <v>0.83333333333333337</v>
      </c>
      <c r="H24" s="290">
        <f t="shared" si="2"/>
        <v>0.83333333333333337</v>
      </c>
      <c r="I24" s="290">
        <f t="shared" si="2"/>
        <v>0.83333333333333337</v>
      </c>
      <c r="J24" s="290">
        <f t="shared" si="2"/>
        <v>0.83333333333333337</v>
      </c>
      <c r="K24" s="290">
        <f t="shared" si="2"/>
        <v>0.83333333333333337</v>
      </c>
      <c r="L24" s="290">
        <f t="shared" si="2"/>
        <v>0.83333333333333337</v>
      </c>
      <c r="M24" s="290">
        <f t="shared" si="2"/>
        <v>0.83333333333333337</v>
      </c>
      <c r="N24" s="290">
        <f t="shared" si="2"/>
        <v>0.83333333333333337</v>
      </c>
      <c r="O24" s="18"/>
      <c r="P24" s="290">
        <f t="shared" si="1"/>
        <v>10</v>
      </c>
      <c r="Q24" s="246"/>
    </row>
    <row r="25" spans="1:18" s="14" customFormat="1" ht="21.6" customHeight="1" x14ac:dyDescent="0.3">
      <c r="A25" s="303" t="s">
        <v>172</v>
      </c>
      <c r="B25" s="290"/>
      <c r="C25" s="290">
        <f>'Computs fore costs'!B11</f>
        <v>223.55356800000001</v>
      </c>
      <c r="D25" s="290"/>
      <c r="E25" s="290"/>
      <c r="F25" s="290"/>
      <c r="G25" s="290"/>
      <c r="H25" s="290"/>
      <c r="I25" s="290"/>
      <c r="J25" s="290"/>
      <c r="K25" s="290"/>
      <c r="L25" s="290"/>
      <c r="M25" s="290"/>
      <c r="N25" s="290"/>
      <c r="O25" s="18"/>
      <c r="P25" s="290">
        <f t="shared" si="1"/>
        <v>223.55356800000001</v>
      </c>
      <c r="Q25" s="246"/>
    </row>
    <row r="26" spans="1:18" s="14" customFormat="1" ht="21.6" customHeight="1" x14ac:dyDescent="0.3">
      <c r="A26" s="303" t="s">
        <v>170</v>
      </c>
      <c r="B26" s="290"/>
      <c r="C26" s="290">
        <f>'Computs fore costs'!B12</f>
        <v>178.84285440000002</v>
      </c>
      <c r="D26" s="290"/>
      <c r="E26" s="290"/>
      <c r="F26" s="290"/>
      <c r="G26" s="290"/>
      <c r="H26" s="290"/>
      <c r="I26" s="290"/>
      <c r="J26" s="290"/>
      <c r="K26" s="290"/>
      <c r="L26" s="290"/>
      <c r="M26" s="290"/>
      <c r="N26" s="290"/>
      <c r="O26" s="18"/>
      <c r="P26" s="290">
        <f t="shared" si="1"/>
        <v>178.84285440000002</v>
      </c>
      <c r="Q26" s="246"/>
    </row>
    <row r="27" spans="1:18" s="14" customFormat="1" ht="21.6" customHeight="1" x14ac:dyDescent="0.3">
      <c r="A27" s="303" t="s">
        <v>171</v>
      </c>
      <c r="B27" s="290"/>
      <c r="C27" s="290">
        <f>'Computs fore costs'!B13</f>
        <v>357.68570880000004</v>
      </c>
      <c r="D27" s="290"/>
      <c r="E27" s="290"/>
      <c r="F27" s="290"/>
      <c r="G27" s="290"/>
      <c r="H27" s="290"/>
      <c r="I27" s="290"/>
      <c r="J27" s="290"/>
      <c r="K27" s="290"/>
      <c r="L27" s="290"/>
      <c r="M27" s="290"/>
      <c r="N27" s="290"/>
      <c r="O27" s="18"/>
      <c r="P27" s="290">
        <f t="shared" si="1"/>
        <v>357.68570880000004</v>
      </c>
      <c r="Q27" s="246"/>
    </row>
    <row r="28" spans="1:18" s="14" customFormat="1" ht="21.6" customHeight="1" x14ac:dyDescent="0.3">
      <c r="A28" s="303" t="s">
        <v>164</v>
      </c>
      <c r="B28" s="290"/>
      <c r="C28" s="290">
        <f>'Computs fore costs'!B14</f>
        <v>40</v>
      </c>
      <c r="D28" s="290"/>
      <c r="E28" s="290"/>
      <c r="F28" s="290"/>
      <c r="G28" s="290"/>
      <c r="H28" s="290"/>
      <c r="I28" s="290"/>
      <c r="J28" s="290"/>
      <c r="K28" s="290"/>
      <c r="L28" s="290"/>
      <c r="M28" s="290"/>
      <c r="N28" s="290"/>
      <c r="O28" s="18"/>
      <c r="P28" s="290">
        <f t="shared" si="1"/>
        <v>40</v>
      </c>
      <c r="Q28" s="246"/>
    </row>
    <row r="29" spans="1:18" s="14" customFormat="1" ht="21.6" customHeight="1" x14ac:dyDescent="0.3">
      <c r="A29" s="303" t="s">
        <v>322</v>
      </c>
      <c r="B29" s="290"/>
      <c r="C29" s="290">
        <f>'Computs fore costs'!B15</f>
        <v>600</v>
      </c>
      <c r="D29" s="290"/>
      <c r="E29" s="290"/>
      <c r="F29" s="290"/>
      <c r="G29" s="290"/>
      <c r="H29" s="290"/>
      <c r="I29" s="290"/>
      <c r="J29" s="290"/>
      <c r="K29" s="290"/>
      <c r="L29" s="290"/>
      <c r="M29" s="290"/>
      <c r="N29" s="290"/>
      <c r="O29" s="18"/>
      <c r="P29" s="290">
        <f t="shared" si="1"/>
        <v>600</v>
      </c>
      <c r="Q29" s="246"/>
    </row>
    <row r="30" spans="1:18" s="14" customFormat="1" ht="21.6" customHeight="1" x14ac:dyDescent="0.3">
      <c r="A30" s="303" t="s">
        <v>174</v>
      </c>
      <c r="B30" s="290"/>
      <c r="C30" s="290">
        <f>'Sales 1st yr'!D6*2.5*'Computs fore costs'!$D$38</f>
        <v>6.5012487750000005</v>
      </c>
      <c r="D30" s="290">
        <f>'Sales 1st yr'!G6*2.5*'Computs fore costs'!$D$38</f>
        <v>6.7179570675000004</v>
      </c>
      <c r="E30" s="290">
        <f>'Sales 1st yr'!J6*2.5*'Computs fore costs'!$D$38</f>
        <v>113.7718535625</v>
      </c>
      <c r="F30" s="290">
        <f>'Sales 1st yr'!M6*2.5*'Computs fore costs'!$D$38</f>
        <v>117.23918624250001</v>
      </c>
      <c r="G30" s="290">
        <f>'Sales 1st yr'!P6*2.5*'Computs fore costs'!$D$38</f>
        <v>134.5758496425</v>
      </c>
      <c r="H30" s="290">
        <f>'Sales 1st yr'!S6*2.5*'Computs fore costs'!$D$38</f>
        <v>108.5708545425</v>
      </c>
      <c r="I30" s="290">
        <f>'Sales 1st yr'!V6*2.5*'Computs fore costs'!$D$38</f>
        <v>111.82147893000001</v>
      </c>
      <c r="J30" s="290">
        <f>'Sales 1st yr'!Y6*2.5*'Computs fore costs'!$D$38</f>
        <v>139.56014037</v>
      </c>
      <c r="K30" s="290">
        <f>'Sales 1st yr'!AB6*2.5*'Computs fore costs'!$D$38</f>
        <v>146.27809743750001</v>
      </c>
      <c r="L30" s="290">
        <f>'Sales 1st yr'!AE6*2.5*'Computs fore costs'!$D$38</f>
        <v>147.79505548500001</v>
      </c>
      <c r="M30" s="290">
        <f>'Sales 1st yr'!AH6*2.5*'Computs fore costs'!$D$38</f>
        <v>151.47909645750002</v>
      </c>
      <c r="N30" s="290">
        <f>'Sales 1st yr'!AK6*2.5*'Computs fore costs'!$D$38</f>
        <v>150.395554995</v>
      </c>
      <c r="O30" s="18"/>
      <c r="P30" s="290">
        <f t="shared" si="1"/>
        <v>1334.7063735074998</v>
      </c>
      <c r="Q30" s="246"/>
    </row>
    <row r="31" spans="1:18" s="14" customFormat="1" ht="21.6" customHeight="1" x14ac:dyDescent="0.3">
      <c r="A31" s="303" t="s">
        <v>173</v>
      </c>
      <c r="B31" s="290"/>
      <c r="C31" s="290">
        <f>Computs!T8/12</f>
        <v>218.5942725211714</v>
      </c>
      <c r="D31" s="290">
        <f>C31</f>
        <v>218.5942725211714</v>
      </c>
      <c r="E31" s="290">
        <f t="shared" ref="E31:N31" si="3">D31</f>
        <v>218.5942725211714</v>
      </c>
      <c r="F31" s="290">
        <f t="shared" si="3"/>
        <v>218.5942725211714</v>
      </c>
      <c r="G31" s="290">
        <f t="shared" si="3"/>
        <v>218.5942725211714</v>
      </c>
      <c r="H31" s="290">
        <f t="shared" si="3"/>
        <v>218.5942725211714</v>
      </c>
      <c r="I31" s="290">
        <f t="shared" si="3"/>
        <v>218.5942725211714</v>
      </c>
      <c r="J31" s="290">
        <f t="shared" si="3"/>
        <v>218.5942725211714</v>
      </c>
      <c r="K31" s="290">
        <f t="shared" si="3"/>
        <v>218.5942725211714</v>
      </c>
      <c r="L31" s="290">
        <f t="shared" si="3"/>
        <v>218.5942725211714</v>
      </c>
      <c r="M31" s="290">
        <f t="shared" si="3"/>
        <v>218.5942725211714</v>
      </c>
      <c r="N31" s="290">
        <f t="shared" si="3"/>
        <v>218.5942725211714</v>
      </c>
      <c r="O31" s="18"/>
      <c r="P31" s="290">
        <f t="shared" si="1"/>
        <v>2623.1312702540563</v>
      </c>
      <c r="Q31" s="246"/>
    </row>
    <row r="32" spans="1:18" s="297" customFormat="1" ht="26.4" customHeight="1" x14ac:dyDescent="0.3">
      <c r="A32" s="318" t="s">
        <v>26</v>
      </c>
      <c r="B32" s="295">
        <f>SUM(B2:B31)</f>
        <v>12638.788</v>
      </c>
      <c r="C32" s="294">
        <f t="shared" ref="C32:N32" si="4">SUM(C19:C31)</f>
        <v>7860.7611683295045</v>
      </c>
      <c r="D32" s="294">
        <f t="shared" si="4"/>
        <v>6244.1455629220045</v>
      </c>
      <c r="E32" s="294">
        <f t="shared" si="4"/>
        <v>9351.1994594170064</v>
      </c>
      <c r="F32" s="294">
        <f t="shared" si="4"/>
        <v>9154.6667920970049</v>
      </c>
      <c r="G32" s="294">
        <f t="shared" si="4"/>
        <v>11372.003455497006</v>
      </c>
      <c r="H32" s="294">
        <f t="shared" si="4"/>
        <v>9945.9984603970061</v>
      </c>
      <c r="I32" s="294">
        <f t="shared" si="4"/>
        <v>10749.249084784506</v>
      </c>
      <c r="J32" s="294">
        <f t="shared" si="4"/>
        <v>11276.987746224506</v>
      </c>
      <c r="K32" s="294">
        <f t="shared" si="4"/>
        <v>11183.705703292006</v>
      </c>
      <c r="L32" s="294">
        <f t="shared" si="4"/>
        <v>10285.222661339505</v>
      </c>
      <c r="M32" s="294">
        <f t="shared" si="4"/>
        <v>10288.906702312006</v>
      </c>
      <c r="N32" s="294">
        <f t="shared" si="4"/>
        <v>10087.823160849506</v>
      </c>
      <c r="O32" s="296"/>
      <c r="P32" s="100">
        <f>SUM(P19:P31)</f>
        <v>117800.66995746158</v>
      </c>
    </row>
    <row r="33" spans="1:17" s="77" customFormat="1" ht="17.399999999999999" customHeight="1" x14ac:dyDescent="0.3">
      <c r="A33" s="298"/>
      <c r="B33" s="298"/>
      <c r="C33" s="97"/>
      <c r="D33" s="97"/>
      <c r="E33" s="97"/>
      <c r="F33" s="97"/>
      <c r="G33" s="97"/>
      <c r="H33" s="97"/>
      <c r="I33" s="97"/>
      <c r="J33" s="97"/>
      <c r="K33" s="97"/>
      <c r="L33" s="97"/>
      <c r="M33" s="97"/>
      <c r="N33" s="97"/>
      <c r="O33" s="299"/>
      <c r="P33" s="97"/>
    </row>
    <row r="34" spans="1:17" s="77" customFormat="1" ht="17.399999999999999" customHeight="1" x14ac:dyDescent="0.3">
      <c r="A34" s="298" t="s">
        <v>115</v>
      </c>
      <c r="B34" s="298"/>
      <c r="C34" s="300"/>
      <c r="D34" s="300"/>
      <c r="E34" s="300"/>
      <c r="F34" s="300"/>
      <c r="G34" s="300"/>
      <c r="H34" s="300"/>
      <c r="I34" s="300"/>
      <c r="J34" s="300"/>
      <c r="K34" s="300"/>
      <c r="L34" s="300"/>
      <c r="M34" s="300"/>
      <c r="N34" s="300"/>
      <c r="O34" s="301"/>
      <c r="P34" s="300"/>
    </row>
    <row r="35" spans="1:17" s="14" customFormat="1" ht="20.399999999999999" customHeight="1" x14ac:dyDescent="0.3">
      <c r="A35" s="302" t="s">
        <v>92</v>
      </c>
      <c r="B35" s="302"/>
      <c r="C35" s="290"/>
      <c r="D35" s="290"/>
      <c r="E35" s="290"/>
      <c r="F35" s="290"/>
      <c r="G35" s="290"/>
      <c r="H35" s="290"/>
      <c r="I35" s="290"/>
      <c r="J35" s="290"/>
      <c r="K35" s="290"/>
      <c r="L35" s="290"/>
      <c r="M35" s="290"/>
      <c r="N35" s="290">
        <f>'Computs fore costs'!B16</f>
        <v>1512</v>
      </c>
      <c r="O35" s="18"/>
      <c r="P35" s="290">
        <f>N35</f>
        <v>1512</v>
      </c>
      <c r="Q35" s="246"/>
    </row>
    <row r="36" spans="1:17" s="77" customFormat="1" ht="17.399999999999999" customHeight="1" x14ac:dyDescent="0.3">
      <c r="A36" s="303" t="s">
        <v>119</v>
      </c>
      <c r="B36" s="303"/>
      <c r="C36" s="304"/>
      <c r="D36" s="304"/>
      <c r="E36" s="304"/>
      <c r="F36" s="304"/>
      <c r="G36" s="304"/>
      <c r="H36" s="304"/>
      <c r="I36" s="304"/>
      <c r="J36" s="304"/>
      <c r="K36" s="304"/>
      <c r="L36" s="304"/>
      <c r="M36" s="304"/>
      <c r="N36" s="304">
        <f>-'P&amp;L'!D49</f>
        <v>0</v>
      </c>
      <c r="O36" s="305"/>
      <c r="P36" s="306">
        <f>N36</f>
        <v>0</v>
      </c>
    </row>
    <row r="37" spans="1:17" s="77" customFormat="1" ht="22.8" customHeight="1" x14ac:dyDescent="0.3">
      <c r="A37" s="307" t="s">
        <v>44</v>
      </c>
      <c r="B37" s="307"/>
      <c r="C37" s="308"/>
      <c r="D37" s="308"/>
      <c r="E37" s="308"/>
      <c r="F37" s="308"/>
      <c r="G37" s="308"/>
      <c r="H37" s="308"/>
      <c r="I37" s="308"/>
      <c r="J37" s="308"/>
      <c r="K37" s="308"/>
      <c r="L37" s="308"/>
      <c r="M37" s="308"/>
      <c r="N37" s="308">
        <f>N35</f>
        <v>1512</v>
      </c>
      <c r="O37" s="309"/>
      <c r="P37" s="308">
        <f>SUM(P35:P36)</f>
        <v>1512</v>
      </c>
    </row>
    <row r="38" spans="1:17" s="77" customFormat="1" ht="17.399999999999999" customHeight="1" x14ac:dyDescent="0.3">
      <c r="A38" s="310"/>
      <c r="B38" s="310"/>
      <c r="C38" s="304"/>
      <c r="D38" s="304"/>
      <c r="E38" s="304"/>
      <c r="F38" s="304"/>
      <c r="G38" s="304"/>
      <c r="H38" s="304"/>
      <c r="I38" s="304"/>
      <c r="J38" s="304"/>
      <c r="K38" s="304"/>
      <c r="L38" s="304"/>
      <c r="M38" s="304"/>
      <c r="N38" s="304"/>
      <c r="O38" s="305"/>
      <c r="P38" s="304"/>
    </row>
    <row r="39" spans="1:17" x14ac:dyDescent="0.3">
      <c r="A39" s="298" t="s">
        <v>116</v>
      </c>
      <c r="B39" s="298"/>
      <c r="C39" s="298"/>
      <c r="D39" s="298"/>
      <c r="E39" s="298"/>
      <c r="F39" s="298"/>
      <c r="G39" s="298"/>
      <c r="H39" s="298"/>
      <c r="I39" s="298"/>
      <c r="J39" s="298"/>
      <c r="K39" s="298"/>
      <c r="L39" s="298"/>
      <c r="M39" s="298"/>
      <c r="N39" s="298"/>
      <c r="O39" s="311"/>
      <c r="P39" s="298"/>
    </row>
    <row r="40" spans="1:17" s="77" customFormat="1" ht="15.6" customHeight="1" x14ac:dyDescent="0.3">
      <c r="A40" s="307" t="s">
        <v>117</v>
      </c>
      <c r="B40" s="293"/>
      <c r="C40" s="295"/>
      <c r="D40" s="295"/>
      <c r="E40" s="295"/>
      <c r="F40" s="295"/>
      <c r="G40" s="295"/>
      <c r="H40" s="295"/>
      <c r="I40" s="295"/>
      <c r="J40" s="295"/>
      <c r="K40" s="295"/>
      <c r="L40" s="295"/>
      <c r="M40" s="295"/>
      <c r="N40" s="312"/>
      <c r="O40" s="313"/>
      <c r="P40" s="308">
        <v>0</v>
      </c>
    </row>
    <row r="41" spans="1:17" s="77" customFormat="1" x14ac:dyDescent="0.3"/>
    <row r="42" spans="1:17" s="317" customFormat="1" ht="30.6" customHeight="1" x14ac:dyDescent="0.3">
      <c r="A42" s="314" t="s">
        <v>118</v>
      </c>
      <c r="B42" s="308">
        <f t="shared" ref="B42:N42" si="5">B32+B37+B40</f>
        <v>12638.788</v>
      </c>
      <c r="C42" s="315">
        <f t="shared" si="5"/>
        <v>7860.7611683295045</v>
      </c>
      <c r="D42" s="315">
        <f t="shared" si="5"/>
        <v>6244.1455629220045</v>
      </c>
      <c r="E42" s="315">
        <f t="shared" si="5"/>
        <v>9351.1994594170064</v>
      </c>
      <c r="F42" s="315">
        <f t="shared" si="5"/>
        <v>9154.6667920970049</v>
      </c>
      <c r="G42" s="315">
        <f t="shared" si="5"/>
        <v>11372.003455497006</v>
      </c>
      <c r="H42" s="315">
        <f t="shared" si="5"/>
        <v>9945.9984603970061</v>
      </c>
      <c r="I42" s="315">
        <f t="shared" si="5"/>
        <v>10749.249084784506</v>
      </c>
      <c r="J42" s="315">
        <f t="shared" si="5"/>
        <v>11276.987746224506</v>
      </c>
      <c r="K42" s="315">
        <f t="shared" si="5"/>
        <v>11183.705703292006</v>
      </c>
      <c r="L42" s="315">
        <f t="shared" si="5"/>
        <v>10285.222661339505</v>
      </c>
      <c r="M42" s="315">
        <f t="shared" si="5"/>
        <v>10288.906702312006</v>
      </c>
      <c r="N42" s="315">
        <f t="shared" si="5"/>
        <v>11599.823160849506</v>
      </c>
      <c r="O42" s="316"/>
      <c r="P42" s="315">
        <f>P32+P37+P40</f>
        <v>119312.66995746158</v>
      </c>
    </row>
    <row r="43" spans="1:17" ht="23.4" customHeight="1" x14ac:dyDescent="0.3">
      <c r="C43" s="28"/>
      <c r="D43" s="28"/>
      <c r="E43" s="28"/>
      <c r="F43" s="28"/>
      <c r="G43" s="28"/>
      <c r="H43" s="28"/>
      <c r="I43" s="28"/>
      <c r="J43" s="28"/>
      <c r="K43" s="28"/>
      <c r="L43" s="28"/>
      <c r="M43" s="28"/>
      <c r="N43" s="28"/>
      <c r="O43" s="28"/>
      <c r="P43" s="28"/>
    </row>
    <row r="44" spans="1:17" ht="19.2" customHeight="1" x14ac:dyDescent="0.3">
      <c r="C44" s="28"/>
      <c r="D44" s="28"/>
      <c r="E44" s="28"/>
      <c r="F44" s="28"/>
      <c r="G44" s="28"/>
      <c r="H44" s="28"/>
      <c r="I44" s="28"/>
      <c r="J44" s="28"/>
      <c r="K44" s="28"/>
      <c r="L44" s="28"/>
      <c r="M44" s="28"/>
      <c r="N44" s="28"/>
      <c r="O44" s="28"/>
      <c r="P44" s="28"/>
    </row>
    <row r="45" spans="1:17" ht="20.399999999999999" customHeight="1" x14ac:dyDescent="0.3">
      <c r="A45" s="348" t="s">
        <v>378</v>
      </c>
      <c r="B45" s="96"/>
      <c r="C45" s="28"/>
      <c r="D45" s="28"/>
      <c r="E45" s="28"/>
      <c r="F45" s="28"/>
      <c r="G45" s="28"/>
      <c r="H45" s="28"/>
      <c r="I45" s="28"/>
      <c r="J45" s="28"/>
      <c r="K45" s="28"/>
      <c r="L45" s="28"/>
      <c r="M45" s="28"/>
      <c r="N45" s="28"/>
      <c r="O45" s="28"/>
      <c r="P45" s="28"/>
    </row>
    <row r="46" spans="1:17" ht="22.8" customHeight="1" x14ac:dyDescent="0.3">
      <c r="A46" s="348" t="s">
        <v>381</v>
      </c>
      <c r="B46" s="96"/>
      <c r="C46" s="28"/>
      <c r="D46" s="28"/>
      <c r="E46" s="28"/>
      <c r="F46" s="28"/>
      <c r="G46" s="28"/>
      <c r="H46" s="28"/>
      <c r="I46" s="28"/>
      <c r="J46" s="28"/>
      <c r="K46" s="28"/>
      <c r="L46" s="28"/>
      <c r="M46" s="28"/>
      <c r="N46" s="28"/>
      <c r="O46" s="28"/>
      <c r="P46" s="28"/>
    </row>
    <row r="47" spans="1:17" ht="22.2" customHeight="1" x14ac:dyDescent="0.3">
      <c r="C47" s="66"/>
      <c r="D47" s="28"/>
      <c r="E47" s="28"/>
      <c r="F47" s="28"/>
      <c r="G47" s="28"/>
      <c r="H47" s="28"/>
      <c r="I47" s="28"/>
      <c r="J47" s="28"/>
      <c r="K47" s="28"/>
      <c r="L47" s="28"/>
      <c r="M47" s="28"/>
      <c r="N47" s="28"/>
      <c r="O47" s="28"/>
      <c r="P47" s="28"/>
    </row>
    <row r="48" spans="1:17" s="77" customFormat="1" ht="18.600000000000001" customHeight="1" x14ac:dyDescent="0.3">
      <c r="A48" s="9"/>
      <c r="B48" s="9"/>
      <c r="C48" s="9"/>
      <c r="D48" s="9"/>
      <c r="E48" s="9"/>
      <c r="F48" s="9"/>
      <c r="G48" s="9"/>
      <c r="H48" s="9"/>
      <c r="I48" s="9"/>
    </row>
    <row r="49" spans="3:3" s="77" customFormat="1" ht="22.8" customHeight="1" x14ac:dyDescent="0.3">
      <c r="C49" s="279"/>
    </row>
    <row r="50" spans="3:3" ht="19.2" customHeight="1" x14ac:dyDescent="0.3"/>
    <row r="51" spans="3:3" ht="19.2" customHeight="1" x14ac:dyDescent="0.3"/>
    <row r="52" spans="3:3" ht="19.2" customHeight="1" x14ac:dyDescent="0.3"/>
    <row r="53" spans="3:3" ht="10.199999999999999" customHeight="1" x14ac:dyDescent="0.3"/>
    <row r="54" spans="3:3" ht="19.2" customHeight="1" x14ac:dyDescent="0.3"/>
    <row r="55" spans="3:3" ht="19.2" customHeight="1" x14ac:dyDescent="0.3"/>
    <row r="62" spans="3:3" s="14" customFormat="1"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5B5A-EB62-4D18-BE5A-1547BCDE796E}">
  <dimension ref="A1:J24"/>
  <sheetViews>
    <sheetView topLeftCell="A5" workbookViewId="0">
      <selection activeCell="E14" sqref="E14"/>
    </sheetView>
  </sheetViews>
  <sheetFormatPr defaultRowHeight="14.4" x14ac:dyDescent="0.3"/>
  <cols>
    <col min="1" max="1" width="35.6640625" style="2" customWidth="1"/>
    <col min="2" max="2" width="10.77734375" style="2" customWidth="1"/>
    <col min="3" max="3" width="15.33203125" style="2" customWidth="1"/>
    <col min="4" max="4" width="8.88671875" style="2"/>
    <col min="5" max="5" width="12" style="2" customWidth="1"/>
    <col min="6" max="6" width="11.33203125" style="2" customWidth="1"/>
    <col min="7" max="7" width="10.6640625" style="2" customWidth="1"/>
    <col min="8" max="8" width="10.77734375" style="2" customWidth="1"/>
    <col min="9" max="9" width="11.5546875" style="2" customWidth="1"/>
    <col min="10" max="16384" width="8.88671875" style="2"/>
  </cols>
  <sheetData>
    <row r="1" spans="1:10" ht="21.6" customHeight="1" x14ac:dyDescent="0.3">
      <c r="A1" s="3" t="s">
        <v>382</v>
      </c>
    </row>
    <row r="3" spans="1:10" ht="22.8" customHeight="1" x14ac:dyDescent="0.3">
      <c r="A3" s="2" t="s">
        <v>197</v>
      </c>
      <c r="B3" s="32">
        <f>'Cash flow 1st yr'!B9</f>
        <v>80000</v>
      </c>
    </row>
    <row r="5" spans="1:10" ht="54" customHeight="1" x14ac:dyDescent="0.3">
      <c r="B5" s="4" t="s">
        <v>15</v>
      </c>
      <c r="C5" s="4" t="s">
        <v>383</v>
      </c>
      <c r="E5" s="36" t="s">
        <v>390</v>
      </c>
      <c r="F5" s="958" t="s">
        <v>384</v>
      </c>
      <c r="G5" s="36" t="s">
        <v>389</v>
      </c>
      <c r="H5" s="36" t="s">
        <v>387</v>
      </c>
      <c r="I5" s="958" t="s">
        <v>388</v>
      </c>
      <c r="J5" s="36" t="s">
        <v>386</v>
      </c>
    </row>
    <row r="6" spans="1:10" x14ac:dyDescent="0.3">
      <c r="A6" s="183" t="s">
        <v>352</v>
      </c>
      <c r="B6" s="32">
        <f>SUM('Expenses 1st yr'!C19:J19)</f>
        <v>31700</v>
      </c>
      <c r="C6" s="8" t="s">
        <v>384</v>
      </c>
      <c r="F6" s="32">
        <f>B6</f>
        <v>31700</v>
      </c>
    </row>
    <row r="7" spans="1:10" x14ac:dyDescent="0.3">
      <c r="A7" s="183" t="s">
        <v>91</v>
      </c>
      <c r="B7" s="32">
        <f>SUM('Expenses 1st yr'!C20:J20)</f>
        <v>144</v>
      </c>
      <c r="C7" s="8" t="s">
        <v>386</v>
      </c>
      <c r="J7" s="32">
        <f>B7</f>
        <v>144</v>
      </c>
    </row>
    <row r="8" spans="1:10" x14ac:dyDescent="0.3">
      <c r="A8" s="183" t="s">
        <v>376</v>
      </c>
      <c r="B8" s="32">
        <f>SUM('Expenses 1st yr'!C21:J21)</f>
        <v>20000</v>
      </c>
      <c r="C8" s="8" t="s">
        <v>385</v>
      </c>
      <c r="E8" s="32">
        <f>B8</f>
        <v>20000</v>
      </c>
    </row>
    <row r="9" spans="1:10" x14ac:dyDescent="0.3">
      <c r="A9" s="183" t="s">
        <v>377</v>
      </c>
      <c r="B9" s="32">
        <f>SUM('Expenses 1st yr'!C22:J22)</f>
        <v>20000</v>
      </c>
      <c r="C9" s="8" t="s">
        <v>385</v>
      </c>
      <c r="E9" s="32">
        <f>B9</f>
        <v>20000</v>
      </c>
    </row>
    <row r="10" spans="1:10" x14ac:dyDescent="0.3">
      <c r="A10" s="183" t="s">
        <v>124</v>
      </c>
      <c r="B10" s="32">
        <f>SUM('Expenses 1st yr'!C23:J23)</f>
        <v>216.75018249999999</v>
      </c>
      <c r="C10" s="8" t="s">
        <v>388</v>
      </c>
      <c r="I10" s="32">
        <f>B10</f>
        <v>216.75018249999999</v>
      </c>
    </row>
    <row r="11" spans="1:10" x14ac:dyDescent="0.3">
      <c r="A11" s="183" t="s">
        <v>168</v>
      </c>
      <c r="B11" s="32">
        <f>SUM('Expenses 1st yr'!C24:J24)</f>
        <v>6.6666666666666661</v>
      </c>
      <c r="C11" s="8" t="s">
        <v>389</v>
      </c>
      <c r="G11" s="32">
        <f>B11</f>
        <v>6.6666666666666661</v>
      </c>
    </row>
    <row r="12" spans="1:10" x14ac:dyDescent="0.3">
      <c r="A12" s="183" t="s">
        <v>172</v>
      </c>
      <c r="B12" s="32">
        <f>SUM('Expenses 1st yr'!C25:J25)</f>
        <v>223.55356800000001</v>
      </c>
      <c r="C12" s="8" t="s">
        <v>389</v>
      </c>
      <c r="G12" s="32">
        <f>B12</f>
        <v>223.55356800000001</v>
      </c>
    </row>
    <row r="13" spans="1:10" x14ac:dyDescent="0.3">
      <c r="A13" s="183" t="s">
        <v>170</v>
      </c>
      <c r="B13" s="32">
        <f>SUM('Expenses 1st yr'!C26:J26)</f>
        <v>178.84285440000002</v>
      </c>
      <c r="C13" s="8" t="s">
        <v>387</v>
      </c>
      <c r="H13" s="32">
        <f>B13</f>
        <v>178.84285440000002</v>
      </c>
    </row>
    <row r="14" spans="1:10" x14ac:dyDescent="0.3">
      <c r="A14" s="183" t="s">
        <v>171</v>
      </c>
      <c r="B14" s="32">
        <f>SUM('Expenses 1st yr'!C27:J27)</f>
        <v>357.68570880000004</v>
      </c>
      <c r="C14" s="8" t="s">
        <v>387</v>
      </c>
      <c r="H14" s="32">
        <f>B14</f>
        <v>357.68570880000004</v>
      </c>
    </row>
    <row r="15" spans="1:10" x14ac:dyDescent="0.3">
      <c r="A15" s="183" t="s">
        <v>164</v>
      </c>
      <c r="B15" s="32">
        <f>SUM('Expenses 1st yr'!C28:J28)</f>
        <v>40</v>
      </c>
      <c r="C15" s="8" t="s">
        <v>388</v>
      </c>
      <c r="I15" s="32">
        <f>B15</f>
        <v>40</v>
      </c>
    </row>
    <row r="16" spans="1:10" x14ac:dyDescent="0.3">
      <c r="A16" s="183" t="s">
        <v>322</v>
      </c>
      <c r="B16" s="32">
        <f>SUM('Expenses 1st yr'!C29:J29)</f>
        <v>600</v>
      </c>
      <c r="C16" s="8" t="s">
        <v>389</v>
      </c>
      <c r="G16" s="32">
        <f>B16</f>
        <v>600</v>
      </c>
    </row>
    <row r="17" spans="1:10" x14ac:dyDescent="0.3">
      <c r="A17" s="183" t="s">
        <v>174</v>
      </c>
      <c r="B17" s="32">
        <f>SUM('Expenses 1st yr'!C30:J30)</f>
        <v>738.75856913250004</v>
      </c>
      <c r="C17" s="8" t="s">
        <v>389</v>
      </c>
      <c r="G17" s="32">
        <f>B17</f>
        <v>738.75856913250004</v>
      </c>
    </row>
    <row r="18" spans="1:10" x14ac:dyDescent="0.3">
      <c r="A18" s="183" t="s">
        <v>173</v>
      </c>
      <c r="B18" s="956">
        <f>SUM('Expenses 1st yr'!C31:J31)</f>
        <v>1748.7541801693712</v>
      </c>
      <c r="C18" s="8" t="s">
        <v>389</v>
      </c>
      <c r="E18" s="957"/>
      <c r="F18" s="957"/>
      <c r="G18" s="956">
        <f>B18</f>
        <v>1748.7541801693712</v>
      </c>
      <c r="H18" s="957"/>
      <c r="I18" s="957"/>
      <c r="J18" s="957"/>
    </row>
    <row r="19" spans="1:10" ht="28.2" customHeight="1" x14ac:dyDescent="0.3">
      <c r="B19" s="32">
        <f>SUM(B6:B18)</f>
        <v>75955.011729668549</v>
      </c>
      <c r="C19" s="8"/>
      <c r="E19" s="32">
        <f>SUM(E6:E18)</f>
        <v>40000</v>
      </c>
      <c r="F19" s="32">
        <f t="shared" ref="F19:J19" si="0">SUM(F6:F18)</f>
        <v>31700</v>
      </c>
      <c r="G19" s="32">
        <f t="shared" si="0"/>
        <v>3317.7329839685381</v>
      </c>
      <c r="H19" s="32">
        <f t="shared" si="0"/>
        <v>536.52856320000001</v>
      </c>
      <c r="I19" s="32">
        <f t="shared" si="0"/>
        <v>256.75018249999999</v>
      </c>
      <c r="J19" s="32">
        <f t="shared" si="0"/>
        <v>144</v>
      </c>
    </row>
    <row r="20" spans="1:10" x14ac:dyDescent="0.3">
      <c r="B20" s="32"/>
      <c r="C20" s="8"/>
    </row>
    <row r="21" spans="1:10" x14ac:dyDescent="0.3">
      <c r="B21" s="32"/>
    </row>
    <row r="22" spans="1:10" x14ac:dyDescent="0.3">
      <c r="B22" s="32"/>
    </row>
    <row r="23" spans="1:10" x14ac:dyDescent="0.3">
      <c r="B23" s="32"/>
    </row>
    <row r="24" spans="1:10" x14ac:dyDescent="0.3">
      <c r="B24" s="32"/>
    </row>
  </sheetData>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CAD21-E712-48F0-B454-9B20C352D738}">
  <dimension ref="A1:J53"/>
  <sheetViews>
    <sheetView workbookViewId="0">
      <pane ySplit="1" topLeftCell="A17" activePane="bottomLeft" state="frozen"/>
      <selection pane="bottomLeft" activeCell="C34" sqref="C34"/>
    </sheetView>
  </sheetViews>
  <sheetFormatPr defaultRowHeight="12.6" x14ac:dyDescent="0.3"/>
  <cols>
    <col min="1" max="1" width="51.6640625" style="16" customWidth="1"/>
    <col min="2" max="2" width="8.5546875" style="16" customWidth="1"/>
    <col min="3" max="7" width="10.21875" style="16" customWidth="1"/>
    <col min="8" max="8" width="71.33203125" style="16" customWidth="1"/>
    <col min="9" max="16384" width="8.88671875" style="16"/>
  </cols>
  <sheetData>
    <row r="1" spans="1:10" s="179" customFormat="1" ht="22.8" customHeight="1" x14ac:dyDescent="0.3">
      <c r="A1" s="753" t="s">
        <v>5</v>
      </c>
      <c r="B1" s="754" t="s">
        <v>63</v>
      </c>
      <c r="C1" s="755" t="s">
        <v>2</v>
      </c>
      <c r="D1" s="755" t="s">
        <v>3</v>
      </c>
      <c r="E1" s="755" t="s">
        <v>4</v>
      </c>
      <c r="F1" s="755" t="s">
        <v>146</v>
      </c>
      <c r="G1" s="755" t="s">
        <v>147</v>
      </c>
      <c r="H1" s="756" t="s">
        <v>0</v>
      </c>
      <c r="J1" s="757"/>
    </row>
    <row r="2" spans="1:10" ht="15.6" customHeight="1" x14ac:dyDescent="0.3">
      <c r="A2" s="183" t="str">
        <f>'Expenses 1st yr'!A2</f>
        <v>Existing prototype (not deployed)</v>
      </c>
      <c r="B2" s="758">
        <f>'Expenses 1st yr'!B2</f>
        <v>6468.3600000000006</v>
      </c>
      <c r="C2" s="754"/>
      <c r="D2" s="754"/>
      <c r="E2" s="754"/>
      <c r="F2" s="754"/>
      <c r="G2" s="754"/>
      <c r="H2" s="759"/>
      <c r="J2" s="760"/>
    </row>
    <row r="3" spans="1:10" ht="12.6" customHeight="1" x14ac:dyDescent="0.3">
      <c r="A3" s="183" t="str">
        <f>'Expenses 1st yr'!A3</f>
        <v>Company formation - Founder paid</v>
      </c>
      <c r="B3" s="758">
        <f>'Expenses 1st yr'!B3</f>
        <v>55.08</v>
      </c>
      <c r="C3" s="761"/>
      <c r="D3" s="761"/>
      <c r="E3" s="761"/>
      <c r="F3" s="761"/>
      <c r="G3" s="761"/>
      <c r="H3" s="212"/>
      <c r="J3" s="760"/>
    </row>
    <row r="4" spans="1:10" ht="15" customHeight="1" x14ac:dyDescent="0.3">
      <c r="A4" s="183" t="str">
        <f>'Expenses 1st yr'!A4</f>
        <v>Legal advice - Founder paid</v>
      </c>
      <c r="B4" s="758">
        <f>'Expenses 1st yr'!B4</f>
        <v>54</v>
      </c>
      <c r="C4" s="761"/>
      <c r="D4" s="761"/>
      <c r="E4" s="761"/>
      <c r="F4" s="761"/>
      <c r="G4" s="761"/>
      <c r="H4" s="212"/>
      <c r="J4" s="760"/>
    </row>
    <row r="5" spans="1:10" ht="15" customHeight="1" x14ac:dyDescent="0.3">
      <c r="A5" s="183" t="str">
        <f>'Expenses 1st yr'!A5</f>
        <v>Registered office - Founder paid</v>
      </c>
      <c r="B5" s="758">
        <f>'Expenses 1st yr'!B5</f>
        <v>202</v>
      </c>
      <c r="C5" s="761"/>
      <c r="D5" s="761"/>
      <c r="E5" s="761"/>
      <c r="F5" s="761"/>
      <c r="G5" s="761"/>
      <c r="H5" s="212"/>
      <c r="J5" s="760"/>
    </row>
    <row r="6" spans="1:10" ht="13.8" customHeight="1" x14ac:dyDescent="0.3">
      <c r="A6" s="183" t="str">
        <f>'Expenses 1st yr'!A6</f>
        <v>Advertising (approx. spent) - Founder paid</v>
      </c>
      <c r="B6" s="758">
        <f>'Expenses 1st yr'!B6</f>
        <v>1800</v>
      </c>
      <c r="C6" s="761"/>
      <c r="D6" s="761"/>
      <c r="E6" s="761"/>
      <c r="F6" s="761"/>
      <c r="G6" s="761"/>
      <c r="H6" s="212"/>
      <c r="J6" s="760"/>
    </row>
    <row r="7" spans="1:10" ht="16.8" customHeight="1" x14ac:dyDescent="0.3">
      <c r="A7" s="183" t="str">
        <f>'Expenses 1st yr'!A7</f>
        <v>Domain annual (Wix: thefoundersjunction.com) - Founder paid</v>
      </c>
      <c r="B7" s="758">
        <f>'Expenses 1st yr'!B7</f>
        <v>34.53</v>
      </c>
      <c r="C7" s="761"/>
      <c r="D7" s="761"/>
      <c r="E7" s="761"/>
      <c r="F7" s="761"/>
      <c r="G7" s="761"/>
      <c r="H7" s="212"/>
      <c r="J7" s="760"/>
    </row>
    <row r="8" spans="1:10" ht="15" customHeight="1" x14ac:dyDescent="0.3">
      <c r="A8" s="183" t="str">
        <f>'Expenses 1st yr'!A8</f>
        <v>Hosting space (Wix) - Founder paid</v>
      </c>
      <c r="B8" s="758">
        <f>'Expenses 1st yr'!B8</f>
        <v>226.8</v>
      </c>
      <c r="C8" s="761"/>
      <c r="D8" s="761"/>
      <c r="E8" s="761"/>
      <c r="F8" s="761"/>
      <c r="G8" s="761"/>
      <c r="H8" s="212"/>
      <c r="J8" s="760"/>
    </row>
    <row r="9" spans="1:10" ht="13.2" customHeight="1" x14ac:dyDescent="0.3">
      <c r="A9" s="183" t="str">
        <f>'Expenses 1st yr'!A9</f>
        <v>Wix email marketing - Founder paid</v>
      </c>
      <c r="B9" s="758">
        <f>'Expenses 1st yr'!B9</f>
        <v>267.56</v>
      </c>
      <c r="C9" s="761"/>
      <c r="D9" s="761"/>
      <c r="E9" s="761"/>
      <c r="F9" s="761"/>
      <c r="G9" s="761"/>
      <c r="H9" s="212"/>
      <c r="J9" s="760"/>
    </row>
    <row r="10" spans="1:10" ht="12" customHeight="1" x14ac:dyDescent="0.3">
      <c r="A10" s="183" t="str">
        <f>'Expenses 1st yr'!A10</f>
        <v>Email address + Google workspace - Founder paid</v>
      </c>
      <c r="B10" s="758">
        <f>'Expenses 1st yr'!B10</f>
        <v>133.24799999999999</v>
      </c>
      <c r="C10" s="761"/>
      <c r="D10" s="761"/>
      <c r="E10" s="761"/>
      <c r="F10" s="761"/>
      <c r="G10" s="761"/>
      <c r="H10" s="212"/>
      <c r="J10" s="760"/>
    </row>
    <row r="11" spans="1:10" ht="15.6" customHeight="1" x14ac:dyDescent="0.3">
      <c r="A11" s="183" t="str">
        <f>'Expenses 1st yr'!A11</f>
        <v>Domain (OVH: thefoundersjunction.network) - Founder paid</v>
      </c>
      <c r="B11" s="758">
        <f>'Expenses 1st yr'!B11</f>
        <v>9.0839999999999996</v>
      </c>
      <c r="C11" s="761"/>
      <c r="D11" s="761"/>
      <c r="E11" s="761"/>
      <c r="F11" s="761"/>
      <c r="G11" s="761"/>
      <c r="H11" s="212"/>
      <c r="J11" s="760"/>
    </row>
    <row r="12" spans="1:10" ht="12.6" customHeight="1" x14ac:dyDescent="0.3">
      <c r="A12" s="183" t="str">
        <f>'Expenses 1st yr'!A12</f>
        <v>Hosting space (OVH) - Founder paid</v>
      </c>
      <c r="B12" s="758">
        <f>'Expenses 1st yr'!B12</f>
        <v>138.096</v>
      </c>
      <c r="C12" s="761"/>
      <c r="D12" s="761"/>
      <c r="E12" s="761"/>
      <c r="F12" s="761"/>
      <c r="G12" s="761"/>
      <c r="H12" s="212"/>
      <c r="J12" s="760"/>
    </row>
    <row r="13" spans="1:10" ht="12.6" customHeight="1" x14ac:dyDescent="0.3">
      <c r="A13" s="183" t="str">
        <f>'Expenses 1st yr'!A13</f>
        <v>Stackblitz: AI developing tool - Founder paid</v>
      </c>
      <c r="B13" s="758">
        <f>'Expenses 1st yr'!B13</f>
        <v>66.59</v>
      </c>
      <c r="C13" s="761"/>
      <c r="D13" s="761"/>
      <c r="E13" s="761"/>
      <c r="F13" s="761"/>
      <c r="G13" s="761"/>
      <c r="H13" s="212"/>
      <c r="J13" s="760"/>
    </row>
    <row r="14" spans="1:10" ht="21" customHeight="1" x14ac:dyDescent="0.3">
      <c r="A14" s="183" t="str">
        <f>'Expenses 1st yr'!A14</f>
        <v>ID verification: Idenfy pre-reg verifications - Founder paid</v>
      </c>
      <c r="B14" s="758">
        <f>'Expenses 1st yr'!B14</f>
        <v>900</v>
      </c>
      <c r="C14" s="761"/>
      <c r="D14" s="761"/>
      <c r="E14" s="761"/>
      <c r="F14" s="761"/>
      <c r="G14" s="761"/>
      <c r="H14" s="212"/>
      <c r="J14" s="760"/>
    </row>
    <row r="15" spans="1:10" ht="16.2" customHeight="1" x14ac:dyDescent="0.3">
      <c r="A15" s="183" t="str">
        <f>'Expenses 1st yr'!A15</f>
        <v>ID verification: yearly extension - Founder paid</v>
      </c>
      <c r="B15" s="758">
        <f>'Expenses 1st yr'!B15</f>
        <v>250</v>
      </c>
      <c r="C15" s="761"/>
      <c r="D15" s="761"/>
      <c r="E15" s="761"/>
      <c r="F15" s="761"/>
      <c r="G15" s="761"/>
      <c r="H15" s="212"/>
      <c r="J15" s="760"/>
    </row>
    <row r="16" spans="1:10" ht="16.8" customHeight="1" x14ac:dyDescent="0.3">
      <c r="A16" s="183" t="str">
        <f>'Expenses 1st yr'!A16</f>
        <v>Accountant's fees - Founder paid</v>
      </c>
      <c r="B16" s="758">
        <f>'Expenses 1st yr'!B16</f>
        <v>1440</v>
      </c>
      <c r="C16" s="761"/>
      <c r="D16" s="761"/>
      <c r="E16" s="761"/>
      <c r="F16" s="761"/>
      <c r="G16" s="761"/>
      <c r="H16" s="212"/>
      <c r="J16" s="760"/>
    </row>
    <row r="17" spans="1:10" ht="16.8" customHeight="1" x14ac:dyDescent="0.3">
      <c r="A17" s="183" t="str">
        <f>'Expenses 1st yr'!A17</f>
        <v>ICO annual registration - Founder paid</v>
      </c>
      <c r="B17" s="758">
        <f>'Expenses 1st yr'!B17</f>
        <v>40</v>
      </c>
      <c r="C17" s="761"/>
      <c r="D17" s="761"/>
      <c r="E17" s="761"/>
      <c r="F17" s="761"/>
      <c r="G17" s="761"/>
      <c r="H17" s="212"/>
      <c r="J17" s="760"/>
    </row>
    <row r="18" spans="1:10" ht="16.8" customHeight="1" x14ac:dyDescent="0.3">
      <c r="A18" s="183" t="str">
        <f>'Expenses 1st yr'!A18</f>
        <v>EEA &amp; CH representative GDPR - Founder paid</v>
      </c>
      <c r="B18" s="83">
        <f>'Expenses 1st yr'!B18</f>
        <v>553.44000000000005</v>
      </c>
      <c r="C18" s="762"/>
      <c r="D18" s="762"/>
      <c r="E18" s="762"/>
      <c r="F18" s="762"/>
      <c r="G18" s="762"/>
      <c r="H18" s="212"/>
      <c r="J18" s="760"/>
    </row>
    <row r="19" spans="1:10" ht="22.2" customHeight="1" x14ac:dyDescent="0.3">
      <c r="A19" s="80" t="str">
        <f>'Expenses 1st yr'!A19</f>
        <v>Advertising (Facebook/Instagram ads)</v>
      </c>
      <c r="B19" s="80"/>
      <c r="C19" s="83">
        <f>'Expenses 1st yr'!P19</f>
        <v>52000</v>
      </c>
      <c r="D19" s="83">
        <f>'Computs fore costs'!H68</f>
        <v>40000</v>
      </c>
      <c r="E19" s="83">
        <f>'Computs fore costs'!L68</f>
        <v>40000</v>
      </c>
      <c r="F19" s="83">
        <f>'Computs fore costs'!P68</f>
        <v>40000</v>
      </c>
      <c r="G19" s="83">
        <f>'Computs fore costs'!T68</f>
        <v>40000</v>
      </c>
      <c r="H19" s="14" t="s">
        <v>320</v>
      </c>
    </row>
    <row r="20" spans="1:10" ht="21" customHeight="1" x14ac:dyDescent="0.3">
      <c r="A20" s="80" t="str">
        <f>'Expenses 1st yr'!A20</f>
        <v>Registered office</v>
      </c>
      <c r="B20" s="80"/>
      <c r="C20" s="83">
        <f>'Expenses 1st yr'!P20</f>
        <v>216</v>
      </c>
      <c r="D20" s="83">
        <f>C20*1.04</f>
        <v>224.64000000000001</v>
      </c>
      <c r="E20" s="83">
        <f>D20*1.04</f>
        <v>233.62560000000002</v>
      </c>
      <c r="F20" s="83">
        <f>E20*1.04</f>
        <v>242.97062400000002</v>
      </c>
      <c r="G20" s="83">
        <f>F20*1.04</f>
        <v>252.68944896000002</v>
      </c>
    </row>
    <row r="21" spans="1:10" ht="21" customHeight="1" x14ac:dyDescent="0.3">
      <c r="A21" s="80" t="s">
        <v>374</v>
      </c>
      <c r="B21" s="80"/>
      <c r="C21" s="83">
        <f>'Expenses 1st yr'!P21</f>
        <v>30000</v>
      </c>
      <c r="D21" s="83">
        <f t="shared" ref="D21" si="0">C21*1.05</f>
        <v>31500</v>
      </c>
      <c r="E21" s="83">
        <f t="shared" ref="E21:G21" si="1">D21*1.05</f>
        <v>33075</v>
      </c>
      <c r="F21" s="83">
        <f t="shared" si="1"/>
        <v>34728.75</v>
      </c>
      <c r="G21" s="83">
        <f t="shared" si="1"/>
        <v>36465.1875</v>
      </c>
      <c r="H21" s="14"/>
    </row>
    <row r="22" spans="1:10" ht="21" customHeight="1" x14ac:dyDescent="0.3">
      <c r="A22" s="80" t="s">
        <v>375</v>
      </c>
      <c r="B22" s="80"/>
      <c r="C22" s="83">
        <f>'Expenses 1st yr'!P22</f>
        <v>30000</v>
      </c>
      <c r="D22" s="83">
        <f t="shared" ref="D22" si="2">C22*1.05</f>
        <v>31500</v>
      </c>
      <c r="E22" s="83">
        <f t="shared" ref="E22:G22" si="3">D22*1.05</f>
        <v>33075</v>
      </c>
      <c r="F22" s="83">
        <f t="shared" si="3"/>
        <v>34728.75</v>
      </c>
      <c r="G22" s="83">
        <f t="shared" si="3"/>
        <v>36465.1875</v>
      </c>
      <c r="H22" s="14"/>
    </row>
    <row r="23" spans="1:10" ht="21" customHeight="1" x14ac:dyDescent="0.3">
      <c r="A23" s="80" t="str">
        <f>'Expenses 1st yr'!A27</f>
        <v>Email marketing (Resend: Pro Marketing)</v>
      </c>
      <c r="B23" s="80"/>
      <c r="C23" s="83">
        <f>'Expenses 1st yr'!P27</f>
        <v>357.68570880000004</v>
      </c>
      <c r="D23" s="83">
        <f t="shared" ref="D23:G31" si="4">C23*1.04</f>
        <v>371.99313715200003</v>
      </c>
      <c r="E23" s="83">
        <f t="shared" si="4"/>
        <v>386.87286263808005</v>
      </c>
      <c r="F23" s="83">
        <f t="shared" si="4"/>
        <v>402.34777714360325</v>
      </c>
      <c r="G23" s="83">
        <f t="shared" si="4"/>
        <v>418.44168822934739</v>
      </c>
    </row>
    <row r="24" spans="1:10" ht="21" customHeight="1" x14ac:dyDescent="0.3">
      <c r="A24" s="80" t="str">
        <f>'Expenses 1st yr'!A26</f>
        <v>Email marketing (Resend: Pro Transactional)</v>
      </c>
      <c r="B24" s="80"/>
      <c r="C24" s="83">
        <f>'Expenses 1st yr'!P26</f>
        <v>178.84285440000002</v>
      </c>
      <c r="D24" s="83">
        <f t="shared" ref="D24:G26" si="5">C24*1.04</f>
        <v>185.99656857600002</v>
      </c>
      <c r="E24" s="83">
        <f t="shared" si="5"/>
        <v>193.43643131904003</v>
      </c>
      <c r="F24" s="83">
        <f t="shared" si="5"/>
        <v>201.17388857180163</v>
      </c>
      <c r="G24" s="83">
        <f t="shared" si="5"/>
        <v>209.2208441146737</v>
      </c>
    </row>
    <row r="25" spans="1:10" ht="21" customHeight="1" x14ac:dyDescent="0.3">
      <c r="A25" s="80" t="str">
        <f>'Expenses 1st yr'!A24</f>
        <v>Domain name (OVH)</v>
      </c>
      <c r="B25" s="80"/>
      <c r="C25" s="83">
        <f>'Expenses 1st yr'!P24</f>
        <v>10</v>
      </c>
      <c r="D25" s="83">
        <f t="shared" si="5"/>
        <v>10.4</v>
      </c>
      <c r="E25" s="83">
        <f t="shared" si="5"/>
        <v>10.816000000000001</v>
      </c>
      <c r="F25" s="83">
        <f t="shared" si="5"/>
        <v>11.248640000000002</v>
      </c>
      <c r="G25" s="83">
        <f t="shared" si="5"/>
        <v>11.698585600000003</v>
      </c>
    </row>
    <row r="26" spans="1:10" ht="21" customHeight="1" x14ac:dyDescent="0.3">
      <c r="A26" s="80" t="str">
        <f>'Expenses 1st yr'!A25</f>
        <v>Hosting plan (Supabase: Pro plan)</v>
      </c>
      <c r="B26" s="80"/>
      <c r="C26" s="83">
        <f>'Expenses 1st yr'!P25</f>
        <v>223.55356800000001</v>
      </c>
      <c r="D26" s="83">
        <f t="shared" si="5"/>
        <v>232.49571072000003</v>
      </c>
      <c r="E26" s="83">
        <f t="shared" si="5"/>
        <v>241.79553914880003</v>
      </c>
      <c r="F26" s="83">
        <f t="shared" si="5"/>
        <v>251.46736071475203</v>
      </c>
      <c r="G26" s="83">
        <f t="shared" si="5"/>
        <v>261.52605514334215</v>
      </c>
    </row>
    <row r="27" spans="1:10" ht="22.8" customHeight="1" x14ac:dyDescent="0.3">
      <c r="A27" s="80" t="str">
        <f>'Expenses 1st yr'!A28</f>
        <v>ICO registration (annual)</v>
      </c>
      <c r="B27" s="80"/>
      <c r="C27" s="83">
        <f>'Expenses 1st yr'!P28</f>
        <v>40</v>
      </c>
      <c r="D27" s="83">
        <f t="shared" si="4"/>
        <v>41.6</v>
      </c>
      <c r="E27" s="83">
        <f t="shared" si="4"/>
        <v>43.264000000000003</v>
      </c>
      <c r="F27" s="83">
        <f t="shared" si="4"/>
        <v>44.994560000000007</v>
      </c>
      <c r="G27" s="83">
        <f t="shared" si="4"/>
        <v>46.794342400000012</v>
      </c>
    </row>
    <row r="28" spans="1:10" s="77" customFormat="1" ht="20.399999999999999" customHeight="1" x14ac:dyDescent="0.3">
      <c r="A28" s="80" t="str">
        <f>'Expenses 1st yr'!A29</f>
        <v>Cyber insurance (rough estimate)</v>
      </c>
      <c r="B28" s="80"/>
      <c r="C28" s="83">
        <f>'Expenses 1st yr'!P29</f>
        <v>600</v>
      </c>
      <c r="D28" s="83">
        <f t="shared" si="4"/>
        <v>624</v>
      </c>
      <c r="E28" s="83">
        <f t="shared" si="4"/>
        <v>648.96</v>
      </c>
      <c r="F28" s="83">
        <f t="shared" si="4"/>
        <v>674.91840000000002</v>
      </c>
      <c r="G28" s="83">
        <f t="shared" si="4"/>
        <v>701.91513600000008</v>
      </c>
    </row>
    <row r="29" spans="1:10" s="77" customFormat="1" ht="25.2" customHeight="1" x14ac:dyDescent="0.3">
      <c r="A29" s="80" t="str">
        <f>'Expenses 1st yr'!A30</f>
        <v>ID verifications (@€2.50 x approved verification)</v>
      </c>
      <c r="B29" s="80"/>
      <c r="C29" s="83">
        <f>'Expenses 1st yr'!P30</f>
        <v>1334.7063735074998</v>
      </c>
      <c r="D29" s="83">
        <f>'Sales 5yrs'!H6*2.5*'Computs fore costs'!$D$38</f>
        <v>1125.1368803134544</v>
      </c>
      <c r="E29" s="83">
        <f>'Sales 5yrs'!M6*2.5*'Computs fore costs'!$D$38</f>
        <v>1605.4666918525802</v>
      </c>
      <c r="F29" s="83">
        <f>'Sales 5yrs'!R6*2.5*'Computs fore costs'!$D$38</f>
        <v>2088.2542679888024</v>
      </c>
      <c r="G29" s="83">
        <f>'Sales 5yrs'!W6*2.5*'Computs fore costs'!$D$38</f>
        <v>2460.0815404895279</v>
      </c>
    </row>
    <row r="30" spans="1:10" ht="19.8" customHeight="1" x14ac:dyDescent="0.3">
      <c r="A30" s="80" t="str">
        <f>'Expenses 1st yr'!A31</f>
        <v>Stripe fees (payment gateway)</v>
      </c>
      <c r="B30" s="80"/>
      <c r="C30" s="83">
        <f>'Expenses 1st yr'!P31</f>
        <v>2623.1312702540563</v>
      </c>
      <c r="D30" s="83">
        <f t="shared" si="4"/>
        <v>2728.0565210642185</v>
      </c>
      <c r="E30" s="83">
        <f t="shared" si="4"/>
        <v>2837.1787819067872</v>
      </c>
      <c r="F30" s="83">
        <f t="shared" si="4"/>
        <v>2950.6659331830588</v>
      </c>
      <c r="G30" s="83">
        <f t="shared" si="4"/>
        <v>3068.6925705103813</v>
      </c>
    </row>
    <row r="31" spans="1:10" ht="21.6" customHeight="1" x14ac:dyDescent="0.3">
      <c r="A31" s="80" t="str">
        <f>'Expenses 1st yr'!A23</f>
        <v>EEA &amp; CH representative GDPR</v>
      </c>
      <c r="B31" s="80"/>
      <c r="C31" s="83">
        <f>'Expenses 1st yr'!P23</f>
        <v>216.75018249999999</v>
      </c>
      <c r="D31" s="83">
        <f t="shared" si="4"/>
        <v>225.4201898</v>
      </c>
      <c r="E31" s="83">
        <f t="shared" si="4"/>
        <v>234.43699739200002</v>
      </c>
      <c r="F31" s="83">
        <f t="shared" si="4"/>
        <v>243.81447728768003</v>
      </c>
      <c r="G31" s="83">
        <f t="shared" si="4"/>
        <v>253.56705637918725</v>
      </c>
    </row>
    <row r="32" spans="1:10" s="766" customFormat="1" ht="22.2" customHeight="1" x14ac:dyDescent="0.3">
      <c r="A32" s="763" t="s">
        <v>26</v>
      </c>
      <c r="B32" s="764">
        <f t="shared" ref="B32:G32" si="6">SUM(B2:B31)</f>
        <v>12638.788</v>
      </c>
      <c r="C32" s="765">
        <f t="shared" si="6"/>
        <v>117800.66995746158</v>
      </c>
      <c r="D32" s="765">
        <f t="shared" si="6"/>
        <v>108769.73900762569</v>
      </c>
      <c r="E32" s="765">
        <f t="shared" si="6"/>
        <v>112585.85290425729</v>
      </c>
      <c r="F32" s="765">
        <f t="shared" si="6"/>
        <v>116569.35592888972</v>
      </c>
      <c r="G32" s="765">
        <f t="shared" si="6"/>
        <v>120615.00226782646</v>
      </c>
    </row>
    <row r="33" spans="1:8" ht="15.6" customHeight="1" x14ac:dyDescent="0.3">
      <c r="A33" s="303"/>
      <c r="B33" s="303"/>
      <c r="C33" s="767"/>
      <c r="D33" s="767"/>
      <c r="E33" s="767"/>
      <c r="F33" s="767"/>
      <c r="G33" s="767"/>
    </row>
    <row r="34" spans="1:8" s="276" customFormat="1" ht="21" customHeight="1" x14ac:dyDescent="0.3">
      <c r="A34" s="768" t="s">
        <v>42</v>
      </c>
      <c r="B34" s="396"/>
      <c r="C34" s="769">
        <f>-'Sales 5yrs'!E12</f>
        <v>335.4</v>
      </c>
      <c r="D34" s="769">
        <f>-'Sales 5yrs'!J12</f>
        <v>528.255</v>
      </c>
      <c r="E34" s="769">
        <f>-'Sales 5yrs'!O12</f>
        <v>832.00162499999999</v>
      </c>
      <c r="F34" s="769">
        <f>-'Sales 5yrs'!T12</f>
        <v>1135.6822181250002</v>
      </c>
      <c r="G34" s="769">
        <f>-'Sales 5yrs'!Y12</f>
        <v>1371.3362783859377</v>
      </c>
    </row>
    <row r="35" spans="1:8" ht="15.6" customHeight="1" x14ac:dyDescent="0.3">
      <c r="A35" s="310"/>
      <c r="B35" s="310"/>
      <c r="C35" s="383"/>
      <c r="D35" s="383"/>
      <c r="E35" s="383"/>
      <c r="F35" s="383"/>
      <c r="G35" s="383"/>
    </row>
    <row r="36" spans="1:8" ht="15.6" customHeight="1" x14ac:dyDescent="0.3">
      <c r="A36" s="298" t="s">
        <v>276</v>
      </c>
      <c r="B36" s="298"/>
      <c r="C36" s="770"/>
      <c r="D36" s="770"/>
      <c r="E36" s="770"/>
      <c r="F36" s="770"/>
      <c r="G36" s="770"/>
    </row>
    <row r="37" spans="1:8" ht="15.6" customHeight="1" x14ac:dyDescent="0.3">
      <c r="A37" s="302" t="s">
        <v>180</v>
      </c>
      <c r="B37" s="302"/>
      <c r="C37" s="383">
        <f>'Expenses 1st yr'!P35</f>
        <v>1512</v>
      </c>
      <c r="D37" s="383">
        <f>C37*1.04</f>
        <v>1572.48</v>
      </c>
      <c r="E37" s="383">
        <f t="shared" ref="E37:G37" si="7">D37*1.04</f>
        <v>1635.3792000000001</v>
      </c>
      <c r="F37" s="383">
        <f t="shared" si="7"/>
        <v>1700.7943680000001</v>
      </c>
      <c r="G37" s="383">
        <f t="shared" si="7"/>
        <v>1768.8261427200002</v>
      </c>
    </row>
    <row r="38" spans="1:8" ht="15.6" customHeight="1" x14ac:dyDescent="0.3">
      <c r="A38" s="303" t="s">
        <v>120</v>
      </c>
      <c r="B38" s="303"/>
      <c r="C38" s="119">
        <f>-'P&amp;L'!D49</f>
        <v>0</v>
      </c>
      <c r="D38" s="119">
        <f>-'P&amp;L'!F49</f>
        <v>13110.041437688049</v>
      </c>
      <c r="E38" s="119">
        <f>-'P&amp;L'!H49</f>
        <v>54174.315862279982</v>
      </c>
      <c r="F38" s="119">
        <f>-'P&amp;L'!J49</f>
        <v>122776.45815840893</v>
      </c>
      <c r="G38" s="119">
        <f>-'P&amp;L'!L49</f>
        <v>225584.73774824926</v>
      </c>
    </row>
    <row r="39" spans="1:8" s="773" customFormat="1" ht="19.8" customHeight="1" x14ac:dyDescent="0.3">
      <c r="A39" s="771" t="s">
        <v>44</v>
      </c>
      <c r="B39" s="307"/>
      <c r="C39" s="772">
        <f>SUM(C37:C38)</f>
        <v>1512</v>
      </c>
      <c r="D39" s="772">
        <f t="shared" ref="D39:E39" si="8">SUM(D37:D38)</f>
        <v>14682.521437688049</v>
      </c>
      <c r="E39" s="772">
        <f t="shared" si="8"/>
        <v>55809.695062279985</v>
      </c>
      <c r="F39" s="772">
        <f t="shared" ref="F39:G39" si="9">SUM(F37:F38)</f>
        <v>124477.25252640893</v>
      </c>
      <c r="G39" s="772">
        <f t="shared" si="9"/>
        <v>227353.56389096926</v>
      </c>
    </row>
    <row r="40" spans="1:8" ht="15.6" customHeight="1" x14ac:dyDescent="0.3">
      <c r="A40" s="310"/>
      <c r="B40" s="310"/>
      <c r="C40" s="383"/>
      <c r="D40" s="383"/>
      <c r="E40" s="383"/>
      <c r="F40" s="383"/>
      <c r="G40" s="383"/>
    </row>
    <row r="41" spans="1:8" ht="15.6" customHeight="1" x14ac:dyDescent="0.3">
      <c r="A41" s="298" t="s">
        <v>277</v>
      </c>
      <c r="B41" s="298"/>
      <c r="C41" s="758"/>
      <c r="D41" s="758"/>
      <c r="E41" s="758"/>
      <c r="F41" s="758"/>
      <c r="G41" s="758"/>
    </row>
    <row r="42" spans="1:8" s="694" customFormat="1" ht="15.6" customHeight="1" x14ac:dyDescent="0.3">
      <c r="A42" s="318" t="s">
        <v>117</v>
      </c>
      <c r="B42" s="307"/>
      <c r="C42" s="774">
        <v>0</v>
      </c>
      <c r="D42" s="774">
        <v>0</v>
      </c>
      <c r="E42" s="774">
        <v>0</v>
      </c>
      <c r="F42" s="774">
        <v>0</v>
      </c>
      <c r="G42" s="774">
        <v>0</v>
      </c>
    </row>
    <row r="43" spans="1:8" ht="15.6" customHeight="1" x14ac:dyDescent="0.3">
      <c r="A43" s="310"/>
      <c r="B43" s="310"/>
      <c r="C43" s="355"/>
      <c r="D43" s="355"/>
      <c r="E43" s="355"/>
      <c r="F43" s="355"/>
      <c r="G43" s="355"/>
    </row>
    <row r="44" spans="1:8" s="179" customFormat="1" ht="27" customHeight="1" x14ac:dyDescent="0.3">
      <c r="A44" s="314" t="s">
        <v>118</v>
      </c>
      <c r="B44" s="775"/>
      <c r="C44" s="372">
        <f>C32+C34+C39+C42</f>
        <v>119648.06995746157</v>
      </c>
      <c r="D44" s="372">
        <f t="shared" ref="D44:E44" si="10">D32+D34+D39+D42</f>
        <v>123980.51544531374</v>
      </c>
      <c r="E44" s="372">
        <f t="shared" si="10"/>
        <v>169227.54959153727</v>
      </c>
      <c r="F44" s="372">
        <f t="shared" ref="F44:G44" si="11">F32+F34+F39+F42</f>
        <v>242182.29067342367</v>
      </c>
      <c r="G44" s="372">
        <f t="shared" si="11"/>
        <v>349339.90243718168</v>
      </c>
    </row>
    <row r="45" spans="1:8" ht="15.6" customHeight="1" x14ac:dyDescent="0.3">
      <c r="A45" s="77"/>
      <c r="B45" s="77"/>
      <c r="C45" s="260"/>
      <c r="D45" s="260"/>
      <c r="E45" s="260"/>
      <c r="F45" s="260"/>
      <c r="G45" s="260"/>
      <c r="H45" s="29"/>
    </row>
    <row r="46" spans="1:8" ht="15.6" customHeight="1" x14ac:dyDescent="0.3">
      <c r="A46" s="77"/>
      <c r="B46" s="77"/>
      <c r="C46" s="260"/>
      <c r="D46" s="260"/>
      <c r="E46" s="260"/>
      <c r="F46" s="260"/>
      <c r="G46" s="260"/>
      <c r="H46" s="29"/>
    </row>
    <row r="47" spans="1:8" ht="15.6" customHeight="1" x14ac:dyDescent="0.3">
      <c r="C47" s="95"/>
      <c r="D47" s="95"/>
      <c r="E47" s="95"/>
      <c r="F47" s="95"/>
      <c r="G47" s="95"/>
    </row>
    <row r="48" spans="1:8" ht="15.6" customHeight="1" x14ac:dyDescent="0.3">
      <c r="C48" s="28"/>
      <c r="D48" s="28"/>
      <c r="E48" s="28"/>
      <c r="F48" s="28"/>
      <c r="G48" s="28"/>
    </row>
    <row r="49" spans="3:7" ht="15.6" customHeight="1" x14ac:dyDescent="0.3">
      <c r="C49" s="28"/>
      <c r="D49" s="28"/>
      <c r="E49" s="28"/>
      <c r="F49" s="28"/>
      <c r="G49" s="28"/>
    </row>
    <row r="50" spans="3:7" ht="15.6" customHeight="1" x14ac:dyDescent="0.3">
      <c r="C50" s="28"/>
      <c r="D50" s="28"/>
      <c r="E50" s="28"/>
      <c r="F50" s="28"/>
      <c r="G50" s="28"/>
    </row>
    <row r="51" spans="3:7" ht="15.6" customHeight="1" x14ac:dyDescent="0.3">
      <c r="C51" s="28"/>
      <c r="D51" s="28"/>
      <c r="E51" s="28"/>
      <c r="F51" s="28"/>
      <c r="G51" s="28"/>
    </row>
    <row r="52" spans="3:7" ht="15.6" customHeight="1" x14ac:dyDescent="0.3">
      <c r="C52" s="28"/>
      <c r="D52" s="28"/>
      <c r="E52" s="28"/>
      <c r="F52" s="28"/>
      <c r="G52" s="28"/>
    </row>
    <row r="53" spans="3:7" x14ac:dyDescent="0.3">
      <c r="C53" s="28"/>
      <c r="D53" s="28"/>
      <c r="E53" s="28"/>
      <c r="F53" s="28"/>
      <c r="G53" s="28"/>
    </row>
  </sheetData>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E8FD-2867-4429-9866-A7D60400D679}">
  <dimension ref="A1:X21"/>
  <sheetViews>
    <sheetView workbookViewId="0">
      <selection activeCell="T11" sqref="T11"/>
    </sheetView>
  </sheetViews>
  <sheetFormatPr defaultRowHeight="19.2" customHeight="1" x14ac:dyDescent="0.3"/>
  <cols>
    <col min="1" max="1" width="12.21875" style="16" customWidth="1"/>
    <col min="2" max="2" width="4" style="16" customWidth="1"/>
    <col min="3" max="3" width="8" style="16" customWidth="1"/>
    <col min="4" max="4" width="3.88671875" style="16" customWidth="1"/>
    <col min="5" max="5" width="10" style="16" customWidth="1"/>
    <col min="6" max="8" width="8.33203125" style="16" customWidth="1"/>
    <col min="9" max="9" width="10.21875" style="16" customWidth="1"/>
    <col min="10" max="10" width="4.88671875" style="16" customWidth="1"/>
    <col min="11" max="15" width="8.33203125" style="16" customWidth="1"/>
    <col min="16" max="16" width="6.109375" style="16" customWidth="1"/>
    <col min="17" max="17" width="7.33203125" style="16" customWidth="1"/>
    <col min="18" max="18" width="8.33203125" style="16" customWidth="1"/>
    <col min="19" max="19" width="4.33203125" style="16" customWidth="1"/>
    <col min="20" max="22" width="8.33203125" style="16" customWidth="1"/>
    <col min="23" max="16384" width="8.88671875" style="16"/>
  </cols>
  <sheetData>
    <row r="1" spans="1:24" ht="19.2" customHeight="1" x14ac:dyDescent="0.3">
      <c r="A1" s="199" t="s">
        <v>125</v>
      </c>
      <c r="B1" s="199"/>
      <c r="C1" s="199"/>
      <c r="D1" s="199"/>
      <c r="E1" s="199"/>
      <c r="F1" s="199"/>
      <c r="G1" s="199"/>
      <c r="H1" s="199"/>
      <c r="I1" s="199"/>
      <c r="J1" s="199"/>
    </row>
    <row r="2" spans="1:24" ht="12.6" customHeight="1" x14ac:dyDescent="0.3"/>
    <row r="3" spans="1:24" s="200" customFormat="1" ht="25.8" customHeight="1" x14ac:dyDescent="0.3">
      <c r="A3" s="200" t="s">
        <v>134</v>
      </c>
      <c r="C3" s="201" t="s">
        <v>136</v>
      </c>
      <c r="E3" s="1004" t="s">
        <v>135</v>
      </c>
      <c r="F3" s="1004"/>
      <c r="G3" s="1004"/>
      <c r="H3" s="1004"/>
      <c r="I3" s="1004"/>
      <c r="K3" s="1004" t="s">
        <v>133</v>
      </c>
      <c r="L3" s="1004"/>
      <c r="M3" s="1004"/>
      <c r="N3" s="1004"/>
      <c r="O3" s="1004"/>
      <c r="Q3" s="1004" t="s">
        <v>123</v>
      </c>
      <c r="R3" s="1004"/>
      <c r="T3" s="1004" t="s">
        <v>126</v>
      </c>
      <c r="U3" s="1004"/>
      <c r="V3" s="1004"/>
      <c r="W3" s="1004"/>
      <c r="X3" s="1004"/>
    </row>
    <row r="4" spans="1:24" s="21" customFormat="1" ht="21" customHeight="1" x14ac:dyDescent="0.3">
      <c r="A4" s="25"/>
      <c r="B4" s="25"/>
      <c r="C4" s="25"/>
      <c r="D4" s="25"/>
      <c r="E4" s="202" t="s">
        <v>38</v>
      </c>
      <c r="F4" s="202" t="s">
        <v>39</v>
      </c>
      <c r="G4" s="202" t="s">
        <v>40</v>
      </c>
      <c r="H4" s="202" t="s">
        <v>141</v>
      </c>
      <c r="I4" s="202" t="s">
        <v>145</v>
      </c>
      <c r="J4" s="25"/>
      <c r="K4" s="202" t="s">
        <v>38</v>
      </c>
      <c r="L4" s="202" t="s">
        <v>39</v>
      </c>
      <c r="M4" s="202" t="s">
        <v>40</v>
      </c>
      <c r="N4" s="202" t="s">
        <v>141</v>
      </c>
      <c r="O4" s="202" t="s">
        <v>145</v>
      </c>
      <c r="Q4" s="21" t="s">
        <v>127</v>
      </c>
      <c r="R4" s="21" t="s">
        <v>128</v>
      </c>
      <c r="T4" s="202" t="s">
        <v>38</v>
      </c>
      <c r="U4" s="202" t="s">
        <v>39</v>
      </c>
      <c r="V4" s="202" t="s">
        <v>40</v>
      </c>
      <c r="W4" s="202" t="s">
        <v>141</v>
      </c>
      <c r="X4" s="202" t="s">
        <v>145</v>
      </c>
    </row>
    <row r="5" spans="1:24" ht="21" customHeight="1" x14ac:dyDescent="0.3">
      <c r="A5" s="16" t="s">
        <v>129</v>
      </c>
      <c r="C5" s="531">
        <f>'Users 1st year'!BA44/'Users 1st year'!BA$51</f>
        <v>6.1472086065818415E-2</v>
      </c>
      <c r="E5" s="95">
        <f>C5*E16</f>
        <v>4317.5335327437006</v>
      </c>
      <c r="F5" s="95">
        <f>C5*F16</f>
        <v>11155.382003239134</v>
      </c>
      <c r="G5" s="95">
        <f>C5*G16</f>
        <v>24698.329240728868</v>
      </c>
      <c r="H5" s="95">
        <f>C5*H16</f>
        <v>47161.244123303026</v>
      </c>
      <c r="I5" s="95">
        <f>C5*I16</f>
        <v>80690.919335686849</v>
      </c>
      <c r="K5" s="203">
        <f>$C$5*K16</f>
        <v>168.73523325667722</v>
      </c>
      <c r="L5" s="203">
        <f t="shared" ref="L5:O5" si="0">$C$5*L16</f>
        <v>364.02759570537137</v>
      </c>
      <c r="M5" s="203">
        <f t="shared" si="0"/>
        <v>738.27208280226023</v>
      </c>
      <c r="N5" s="203">
        <f t="shared" si="0"/>
        <v>1308.3013152330254</v>
      </c>
      <c r="O5" s="203">
        <f t="shared" si="0"/>
        <v>2092.1065291932205</v>
      </c>
      <c r="Q5" s="65">
        <v>1.4999999999999999E-2</v>
      </c>
      <c r="R5" s="204">
        <v>0.2</v>
      </c>
      <c r="T5" s="95">
        <f>(E5*Q5)+(K5*R5)</f>
        <v>98.510049642490941</v>
      </c>
      <c r="U5" s="95">
        <f>(F5*Q5)+(L5*R5)</f>
        <v>240.13624918966127</v>
      </c>
      <c r="V5" s="95">
        <f>(G5*Q5)+(M5*R5)</f>
        <v>518.1293551713851</v>
      </c>
      <c r="W5" s="95">
        <f>H5*Q5+N5*R5</f>
        <v>969.07892489615051</v>
      </c>
      <c r="X5" s="95">
        <f>I5*Q5+O5*R5</f>
        <v>1628.7850958739468</v>
      </c>
    </row>
    <row r="6" spans="1:24" ht="21" customHeight="1" x14ac:dyDescent="0.3">
      <c r="A6" s="16" t="s">
        <v>130</v>
      </c>
      <c r="C6" s="531">
        <f>'Users 1st year'!BA45/'Users 1st year'!BA$51</f>
        <v>0.25239406775438022</v>
      </c>
      <c r="E6" s="95">
        <f>C6*E16</f>
        <v>17727.068019594368</v>
      </c>
      <c r="F6" s="95">
        <f>C6*F16</f>
        <v>45802.126157503561</v>
      </c>
      <c r="G6" s="95">
        <f>C6*G16</f>
        <v>101407.19443179545</v>
      </c>
      <c r="H6" s="95">
        <f>C6*H16</f>
        <v>193636.1527066608</v>
      </c>
      <c r="I6" s="95">
        <f>C6*I16</f>
        <v>331303.37142241624</v>
      </c>
      <c r="K6" s="203">
        <f>$C$6*K16</f>
        <v>692.79854679956748</v>
      </c>
      <c r="L6" s="203">
        <f t="shared" ref="L6:O6" si="1">$C$6*L16</f>
        <v>1494.6362086451898</v>
      </c>
      <c r="M6" s="203">
        <f t="shared" si="1"/>
        <v>3031.2212585148141</v>
      </c>
      <c r="N6" s="203">
        <f t="shared" si="1"/>
        <v>5371.6656117138182</v>
      </c>
      <c r="O6" s="203">
        <f t="shared" si="1"/>
        <v>8589.8382643661298</v>
      </c>
      <c r="Q6" s="65">
        <v>2.5000000000000001E-2</v>
      </c>
      <c r="R6" s="204">
        <v>0.2</v>
      </c>
      <c r="T6" s="95">
        <f t="shared" ref="T6:T7" si="2">(E6*Q6)+(K6*R6)</f>
        <v>581.73640984977271</v>
      </c>
      <c r="U6" s="95">
        <f t="shared" ref="U6:U7" si="3">(F6*Q6)+(L6*R6)</f>
        <v>1443.9803956666269</v>
      </c>
      <c r="V6" s="95">
        <f t="shared" ref="V6:V7" si="4">(G6*Q6)+(M6*R6)</f>
        <v>3141.4241124978489</v>
      </c>
      <c r="W6" s="95">
        <f t="shared" ref="W6:W7" si="5">H6*Q6+N6*R6</f>
        <v>5915.2369400092839</v>
      </c>
      <c r="X6" s="95">
        <f t="shared" ref="X6:X7" si="6">I6*Q6+O6*R6</f>
        <v>10000.551938433633</v>
      </c>
    </row>
    <row r="7" spans="1:24" ht="21" customHeight="1" x14ac:dyDescent="0.3">
      <c r="A7" s="16" t="s">
        <v>132</v>
      </c>
      <c r="C7" s="537">
        <f>('Users 1st year'!BA46+'Users 1st year'!BA47+'Users 1st year'!BA48+'Users 1st year'!BA49+'Users 1st year'!BA50)/'Users 1st year'!BA51</f>
        <v>0.68613384617980155</v>
      </c>
      <c r="E7" s="205">
        <f>C7*E16</f>
        <v>48191.074655573604</v>
      </c>
      <c r="F7" s="205">
        <f>C7*F16</f>
        <v>124513.183939978</v>
      </c>
      <c r="G7" s="205">
        <f>C7*G16</f>
        <v>275675.68827925925</v>
      </c>
      <c r="H7" s="205">
        <f>C7*H16</f>
        <v>526400.32072930853</v>
      </c>
      <c r="I7" s="205">
        <f>C7*I16</f>
        <v>900648.96734266751</v>
      </c>
      <c r="K7" s="206">
        <f>$C$7*K16</f>
        <v>1883.3744222782545</v>
      </c>
      <c r="L7" s="206">
        <f t="shared" ref="L7:O7" si="7">$C$7*L16</f>
        <v>4063.1719263517543</v>
      </c>
      <c r="M7" s="206">
        <f t="shared" si="7"/>
        <v>8240.3818728051428</v>
      </c>
      <c r="N7" s="206">
        <f t="shared" si="7"/>
        <v>14602.885160295195</v>
      </c>
      <c r="O7" s="206">
        <f t="shared" si="7"/>
        <v>23351.494822483517</v>
      </c>
      <c r="Q7" s="65">
        <v>3.2500000000000001E-2</v>
      </c>
      <c r="R7" s="204">
        <v>0.2</v>
      </c>
      <c r="T7" s="205">
        <f t="shared" si="2"/>
        <v>1942.8848107617932</v>
      </c>
      <c r="U7" s="205">
        <f t="shared" si="3"/>
        <v>4859.3128633196366</v>
      </c>
      <c r="V7" s="205">
        <f t="shared" si="4"/>
        <v>10607.536243636956</v>
      </c>
      <c r="W7" s="205">
        <f t="shared" si="5"/>
        <v>20028.587455761564</v>
      </c>
      <c r="X7" s="205">
        <f t="shared" si="6"/>
        <v>33941.390403133402</v>
      </c>
    </row>
    <row r="8" spans="1:24" ht="21" customHeight="1" x14ac:dyDescent="0.3">
      <c r="C8" s="531">
        <f>SUM(C5:C7)</f>
        <v>1.0000000000000002</v>
      </c>
      <c r="E8" s="95">
        <f>SUM(E5:E7)</f>
        <v>70235.676207911674</v>
      </c>
      <c r="F8" s="95">
        <f t="shared" ref="F8:G8" si="8">SUM(F5:F7)</f>
        <v>181470.69210072071</v>
      </c>
      <c r="G8" s="95">
        <f t="shared" si="8"/>
        <v>401781.21195178357</v>
      </c>
      <c r="H8" s="95">
        <f>SUM(H5:H7)</f>
        <v>767197.71755927242</v>
      </c>
      <c r="I8" s="95">
        <f>SUM(I5:I7)</f>
        <v>1312643.2581007706</v>
      </c>
      <c r="K8" s="203">
        <f>SUM(K5:K7)</f>
        <v>2744.908202334499</v>
      </c>
      <c r="L8" s="203">
        <f>SUM(L5:L7)</f>
        <v>5921.8357307023152</v>
      </c>
      <c r="M8" s="203">
        <f>SUM(M5:M7)</f>
        <v>12009.875214122218</v>
      </c>
      <c r="N8" s="203">
        <f>SUM(N5:N7)</f>
        <v>21282.852087242038</v>
      </c>
      <c r="O8" s="203">
        <f>SUM(O5:O7)</f>
        <v>34033.439616042866</v>
      </c>
      <c r="P8" s="66"/>
      <c r="T8" s="207">
        <f>SUM(T5:T7)</f>
        <v>2623.1312702540567</v>
      </c>
      <c r="U8" s="207">
        <f t="shared" ref="U8:X8" si="9">SUM(U5:U7)</f>
        <v>6543.4295081759246</v>
      </c>
      <c r="V8" s="207">
        <f t="shared" si="9"/>
        <v>14267.089711306191</v>
      </c>
      <c r="W8" s="207">
        <f t="shared" si="9"/>
        <v>26912.903320666999</v>
      </c>
      <c r="X8" s="207">
        <f t="shared" si="9"/>
        <v>45570.727437440983</v>
      </c>
    </row>
    <row r="9" spans="1:24" ht="21" customHeight="1" x14ac:dyDescent="0.3">
      <c r="E9" s="95"/>
      <c r="F9" s="95"/>
      <c r="G9" s="95"/>
      <c r="H9" s="95"/>
      <c r="I9" s="95"/>
      <c r="Q9" s="65"/>
      <c r="R9" s="28"/>
    </row>
    <row r="10" spans="1:24" ht="21" customHeight="1" x14ac:dyDescent="0.3">
      <c r="E10" s="95"/>
      <c r="F10" s="95"/>
      <c r="G10" s="95"/>
      <c r="H10" s="95"/>
      <c r="I10" s="95"/>
      <c r="Q10" s="65"/>
      <c r="R10" s="28"/>
    </row>
    <row r="11" spans="1:24" ht="16.8" customHeight="1" x14ac:dyDescent="0.3">
      <c r="A11" s="208" t="s">
        <v>137</v>
      </c>
      <c r="E11" s="1006" t="s">
        <v>135</v>
      </c>
      <c r="F11" s="1006"/>
      <c r="G11" s="1006"/>
      <c r="H11" s="1006"/>
      <c r="I11" s="1006"/>
      <c r="K11" s="1007" t="s">
        <v>133</v>
      </c>
      <c r="L11" s="1007"/>
      <c r="M11" s="1007"/>
      <c r="N11" s="1007"/>
      <c r="O11" s="1007"/>
      <c r="Q11" s="65"/>
      <c r="R11" s="28"/>
    </row>
    <row r="12" spans="1:24" ht="16.8" customHeight="1" x14ac:dyDescent="0.3">
      <c r="E12" s="26" t="s">
        <v>38</v>
      </c>
      <c r="F12" s="26" t="s">
        <v>39</v>
      </c>
      <c r="G12" s="26" t="s">
        <v>40</v>
      </c>
      <c r="H12" s="202" t="s">
        <v>141</v>
      </c>
      <c r="I12" s="202" t="s">
        <v>145</v>
      </c>
      <c r="J12" s="202"/>
      <c r="K12" s="26" t="s">
        <v>38</v>
      </c>
      <c r="L12" s="26" t="s">
        <v>39</v>
      </c>
      <c r="M12" s="26" t="s">
        <v>40</v>
      </c>
      <c r="N12" s="202" t="s">
        <v>141</v>
      </c>
      <c r="O12" s="202" t="s">
        <v>145</v>
      </c>
      <c r="Q12" s="65"/>
      <c r="R12" s="28"/>
    </row>
    <row r="13" spans="1:24" ht="16.8" customHeight="1" x14ac:dyDescent="0.3">
      <c r="A13" s="1005" t="s">
        <v>98</v>
      </c>
      <c r="B13" s="1000"/>
      <c r="C13" s="1000"/>
      <c r="E13" s="95">
        <f>'Sales 5yrs'!E6</f>
        <v>5543.0999999999995</v>
      </c>
      <c r="F13" s="95">
        <f>'Sales 5yrs'!J6</f>
        <v>4906.3851670383792</v>
      </c>
      <c r="G13" s="209">
        <f>'Sales 5yrs'!O6</f>
        <v>7351.0076915525642</v>
      </c>
      <c r="H13" s="209">
        <f>'Sales 5yrs'!T6</f>
        <v>10039.642632883946</v>
      </c>
      <c r="I13" s="209">
        <f>'Sales 5yrs'!Y6</f>
        <v>12418.629707846481</v>
      </c>
      <c r="J13" s="209"/>
      <c r="K13" s="66">
        <f>'Sales 5yrs'!C6</f>
        <v>615.9</v>
      </c>
      <c r="L13" s="66">
        <f>'Sales 5yrs'!H6</f>
        <v>519.19419757019875</v>
      </c>
      <c r="M13" s="66">
        <f>'Sales 5yrs'!M6</f>
        <v>740.84229695667057</v>
      </c>
      <c r="N13" s="66">
        <f>'Sales 5yrs'!R6</f>
        <v>963.62453134496582</v>
      </c>
      <c r="O13" s="66">
        <f>'Sales 5yrs'!W6</f>
        <v>1135.2041549076982</v>
      </c>
    </row>
    <row r="14" spans="1:24" ht="16.8" customHeight="1" x14ac:dyDescent="0.3">
      <c r="A14" s="1005" t="s">
        <v>96</v>
      </c>
      <c r="B14" s="1000"/>
      <c r="C14" s="1000"/>
      <c r="E14" s="95">
        <f>'Sales 5yrs'!E4</f>
        <v>47424.864686339672</v>
      </c>
      <c r="F14" s="95">
        <f>'Sales 5yrs'!J4</f>
        <v>116605.06798564094</v>
      </c>
      <c r="G14" s="95">
        <f>'Sales 5yrs'!O4</f>
        <v>237372.22728537864</v>
      </c>
      <c r="H14" s="95">
        <f>'Sales 5yrs'!T4</f>
        <v>425183.91254389921</v>
      </c>
      <c r="I14" s="95">
        <f>'Sales 5yrs'!Y4</f>
        <v>692452.87372385676</v>
      </c>
      <c r="K14" s="66">
        <f>'Sales 5yrs'!C4</f>
        <v>1696.7751229459632</v>
      </c>
      <c r="L14" s="66">
        <f>'Sales 5yrs'!H4</f>
        <v>3973.2538712204087</v>
      </c>
      <c r="M14" s="66">
        <f>'Sales 5yrs'!M4</f>
        <v>7703.1702152086818</v>
      </c>
      <c r="N14" s="66">
        <f>'Sales 5yrs'!R4</f>
        <v>13140.960642080106</v>
      </c>
      <c r="O14" s="66">
        <f>'Sales 5yrs'!W4</f>
        <v>20382.207259011357</v>
      </c>
    </row>
    <row r="15" spans="1:24" ht="16.8" customHeight="1" x14ac:dyDescent="0.3">
      <c r="A15" s="1005" t="s">
        <v>97</v>
      </c>
      <c r="B15" s="1000"/>
      <c r="C15" s="1000"/>
      <c r="E15" s="205">
        <f>'Sales 5yrs'!E5</f>
        <v>17267.711521571986</v>
      </c>
      <c r="F15" s="205">
        <f>'Sales 5yrs'!J5</f>
        <v>59959.238948041348</v>
      </c>
      <c r="G15" s="205">
        <f>'Sales 5yrs'!O5</f>
        <v>157057.9769748523</v>
      </c>
      <c r="H15" s="205">
        <f>'Sales 5yrs'!T5</f>
        <v>331974.16238248901</v>
      </c>
      <c r="I15" s="205">
        <f>'Sales 5yrs'!Y5</f>
        <v>607771.75466906733</v>
      </c>
      <c r="K15" s="210">
        <f>'Sales 5yrs'!C5</f>
        <v>432.23307938853526</v>
      </c>
      <c r="L15" s="210">
        <f>'Sales 5yrs'!H5</f>
        <v>1429.3876619117073</v>
      </c>
      <c r="M15" s="210">
        <f>'Sales 5yrs'!M5</f>
        <v>3565.8627019568626</v>
      </c>
      <c r="N15" s="210">
        <f>'Sales 5yrs'!R5</f>
        <v>7178.2669138169604</v>
      </c>
      <c r="O15" s="210">
        <f>'Sales 5yrs'!W5</f>
        <v>12516.028202123809</v>
      </c>
    </row>
    <row r="16" spans="1:24" ht="21.6" customHeight="1" x14ac:dyDescent="0.25">
      <c r="A16" s="211"/>
      <c r="B16" s="211"/>
      <c r="D16" s="211"/>
      <c r="E16" s="95">
        <f>SUM(E13:E15)</f>
        <v>70235.67620791166</v>
      </c>
      <c r="F16" s="95">
        <f t="shared" ref="F16:G16" si="10">SUM(F13:F15)</f>
        <v>181470.69210072065</v>
      </c>
      <c r="G16" s="95">
        <f t="shared" si="10"/>
        <v>401781.21195178351</v>
      </c>
      <c r="H16" s="95">
        <f>SUM(H13:H15)</f>
        <v>767197.71755927219</v>
      </c>
      <c r="I16" s="95">
        <f>SUM(I13:I15)</f>
        <v>1312643.2581007704</v>
      </c>
      <c r="K16" s="66">
        <f>SUM(K13:K15)</f>
        <v>2744.9082023344986</v>
      </c>
      <c r="L16" s="66">
        <f t="shared" ref="L16:M16" si="11">SUM(L13:L15)</f>
        <v>5921.8357307023143</v>
      </c>
      <c r="M16" s="66">
        <f t="shared" si="11"/>
        <v>12009.875214122216</v>
      </c>
      <c r="N16" s="66">
        <f>SUM(N13:N15)</f>
        <v>21282.852087242034</v>
      </c>
      <c r="O16" s="66">
        <f>SUM(O13:O15)</f>
        <v>34033.439616042859</v>
      </c>
    </row>
    <row r="17" spans="1:18" ht="21" customHeight="1" x14ac:dyDescent="0.25">
      <c r="A17" s="211"/>
      <c r="B17" s="211"/>
      <c r="D17" s="211"/>
      <c r="E17" s="95"/>
      <c r="F17" s="95"/>
      <c r="G17" s="95"/>
      <c r="H17" s="95"/>
      <c r="I17" s="95"/>
      <c r="Q17" s="65"/>
      <c r="R17" s="28"/>
    </row>
    <row r="18" spans="1:18" ht="19.2" customHeight="1" x14ac:dyDescent="0.25">
      <c r="A18" s="211"/>
      <c r="B18" s="211"/>
      <c r="D18" s="211"/>
      <c r="Q18" s="212"/>
      <c r="R18" s="28"/>
    </row>
    <row r="19" spans="1:18" ht="19.2" customHeight="1" x14ac:dyDescent="0.25">
      <c r="A19" s="211"/>
      <c r="B19" s="211"/>
      <c r="D19" s="211"/>
      <c r="Q19" s="212"/>
      <c r="R19" s="28"/>
    </row>
    <row r="20" spans="1:18" ht="19.2" customHeight="1" x14ac:dyDescent="0.3">
      <c r="R20" s="28"/>
    </row>
    <row r="21" spans="1:18" ht="19.2" customHeight="1" x14ac:dyDescent="0.3">
      <c r="R21" s="28"/>
    </row>
  </sheetData>
  <mergeCells count="9">
    <mergeCell ref="T3:X3"/>
    <mergeCell ref="A15:C15"/>
    <mergeCell ref="Q3:R3"/>
    <mergeCell ref="A13:C13"/>
    <mergeCell ref="A14:C14"/>
    <mergeCell ref="E3:I3"/>
    <mergeCell ref="E11:I11"/>
    <mergeCell ref="K3:O3"/>
    <mergeCell ref="K11:O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C36BC-56EB-4DB5-9AC2-875530E279D1}">
  <dimension ref="A1:O37"/>
  <sheetViews>
    <sheetView workbookViewId="0">
      <pane ySplit="1" topLeftCell="A24" activePane="bottomLeft" state="frozen"/>
      <selection pane="bottomLeft" activeCell="G15" sqref="G15"/>
    </sheetView>
  </sheetViews>
  <sheetFormatPr defaultRowHeight="14.4" x14ac:dyDescent="0.3"/>
  <cols>
    <col min="1" max="1" width="5.77734375" style="2" customWidth="1"/>
    <col min="2" max="2" width="40.109375" style="2" customWidth="1"/>
    <col min="3" max="3" width="5.33203125" style="2" customWidth="1"/>
    <col min="4" max="4" width="11.88671875" style="2" customWidth="1"/>
    <col min="5" max="5" width="5.5546875" style="2" customWidth="1"/>
    <col min="6" max="10" width="14.33203125" style="2" customWidth="1"/>
    <col min="11" max="16384" width="8.88671875" style="2"/>
  </cols>
  <sheetData>
    <row r="1" spans="1:15" s="121" customFormat="1" ht="27" customHeight="1" x14ac:dyDescent="0.3">
      <c r="A1" s="1008" t="s">
        <v>62</v>
      </c>
      <c r="B1" s="1009"/>
      <c r="C1" s="281"/>
      <c r="D1" s="120" t="s">
        <v>63</v>
      </c>
      <c r="E1" s="120"/>
      <c r="F1" s="120" t="s">
        <v>38</v>
      </c>
      <c r="G1" s="120" t="s">
        <v>39</v>
      </c>
      <c r="H1" s="120" t="s">
        <v>40</v>
      </c>
      <c r="I1" s="120" t="s">
        <v>141</v>
      </c>
      <c r="J1" s="120" t="s">
        <v>145</v>
      </c>
    </row>
    <row r="2" spans="1:15" s="121" customFormat="1" ht="13.2" customHeight="1" x14ac:dyDescent="0.3">
      <c r="A2" s="149"/>
      <c r="B2" s="150"/>
      <c r="C2" s="150"/>
      <c r="D2" s="134"/>
      <c r="E2" s="134"/>
      <c r="F2" s="134"/>
      <c r="G2" s="134"/>
      <c r="H2" s="134"/>
      <c r="I2" s="134"/>
      <c r="J2" s="134"/>
    </row>
    <row r="3" spans="1:15" s="3" customFormat="1" ht="20.25" customHeight="1" x14ac:dyDescent="0.3">
      <c r="A3" s="1010" t="s">
        <v>64</v>
      </c>
      <c r="B3" s="1011"/>
      <c r="C3" s="282"/>
      <c r="D3" s="322" t="s">
        <v>63</v>
      </c>
      <c r="E3" s="322"/>
      <c r="F3" s="138" t="s">
        <v>2</v>
      </c>
      <c r="G3" s="138" t="s">
        <v>3</v>
      </c>
      <c r="H3" s="138" t="s">
        <v>4</v>
      </c>
      <c r="I3" s="138" t="s">
        <v>146</v>
      </c>
      <c r="J3" s="138" t="s">
        <v>147</v>
      </c>
      <c r="L3" s="4"/>
      <c r="M3" s="4"/>
      <c r="N3" s="4"/>
      <c r="O3" s="4"/>
    </row>
    <row r="4" spans="1:15" s="3" customFormat="1" ht="22.8" customHeight="1" x14ac:dyDescent="0.3">
      <c r="A4" s="128"/>
      <c r="B4" s="41" t="str">
        <f>'Amort&amp;depr'!A4</f>
        <v>Worldwide trademark (Wipo 4 classes) authority fees</v>
      </c>
      <c r="C4" s="41"/>
      <c r="D4" s="112">
        <v>0</v>
      </c>
      <c r="E4" s="112"/>
      <c r="F4" s="112">
        <v>0</v>
      </c>
      <c r="G4" s="112">
        <f>'Amort&amp;depr'!B4-'Amort&amp;depr'!D4</f>
        <v>6400</v>
      </c>
      <c r="H4" s="112">
        <f>G4-'Amort&amp;depr'!D4</f>
        <v>4800</v>
      </c>
      <c r="I4" s="112">
        <f>H4-'Amort&amp;depr'!D4</f>
        <v>3200</v>
      </c>
      <c r="J4" s="112">
        <f>I4-'Amort&amp;depr'!D4</f>
        <v>1600</v>
      </c>
      <c r="L4" s="33"/>
      <c r="M4" s="33"/>
      <c r="N4" s="33"/>
    </row>
    <row r="5" spans="1:15" s="741" customFormat="1" ht="21" customHeight="1" x14ac:dyDescent="0.3">
      <c r="A5" s="737" t="s">
        <v>65</v>
      </c>
      <c r="B5" s="738"/>
      <c r="C5" s="129"/>
      <c r="D5" s="742">
        <f>SUM(D4:D4)</f>
        <v>0</v>
      </c>
      <c r="E5" s="742"/>
      <c r="F5" s="739">
        <f>SUM(F4:F4)</f>
        <v>0</v>
      </c>
      <c r="G5" s="739">
        <f>SUM(G4:G4)</f>
        <v>6400</v>
      </c>
      <c r="H5" s="739">
        <f>SUM(H4:H4)</f>
        <v>4800</v>
      </c>
      <c r="I5" s="739">
        <f>SUM(I4:I4)</f>
        <v>3200</v>
      </c>
      <c r="J5" s="739">
        <f>SUM(J4:J4)</f>
        <v>1600</v>
      </c>
      <c r="K5" s="740"/>
    </row>
    <row r="6" spans="1:15" ht="13.2" customHeight="1" x14ac:dyDescent="0.3">
      <c r="A6" s="68"/>
      <c r="B6" s="99"/>
      <c r="C6" s="99"/>
      <c r="D6" s="323"/>
      <c r="E6" s="323"/>
      <c r="F6" s="143"/>
      <c r="G6" s="143"/>
      <c r="H6" s="143"/>
      <c r="I6" s="143"/>
      <c r="J6" s="143"/>
    </row>
    <row r="7" spans="1:15" s="3" customFormat="1" ht="20.25" customHeight="1" x14ac:dyDescent="0.3">
      <c r="A7" s="1012" t="s">
        <v>66</v>
      </c>
      <c r="B7" s="1013"/>
      <c r="C7" s="730"/>
      <c r="D7" s="743" t="s">
        <v>63</v>
      </c>
      <c r="E7" s="743"/>
      <c r="F7" s="135" t="s">
        <v>2</v>
      </c>
      <c r="G7" s="135" t="s">
        <v>3</v>
      </c>
      <c r="H7" s="135" t="s">
        <v>4</v>
      </c>
      <c r="I7" s="138" t="s">
        <v>146</v>
      </c>
      <c r="J7" s="138" t="s">
        <v>147</v>
      </c>
    </row>
    <row r="8" spans="1:15" ht="20.25" customHeight="1" x14ac:dyDescent="0.3">
      <c r="A8" s="68"/>
      <c r="B8" s="99" t="s">
        <v>67</v>
      </c>
      <c r="C8" s="99"/>
      <c r="D8" s="112">
        <f>'Cash flow 5yrs'!B23</f>
        <v>80000</v>
      </c>
      <c r="E8" s="112"/>
      <c r="F8" s="112">
        <f>'Cash flow 5yrs'!D23</f>
        <v>32099.606250450073</v>
      </c>
      <c r="G8" s="112">
        <f>'Cash flow 5yrs'!E23</f>
        <v>98368.939248199807</v>
      </c>
      <c r="H8" s="112">
        <f>'Cash flow 5yrs'!F23</f>
        <v>382859.30819950945</v>
      </c>
      <c r="I8" s="112">
        <f>'Cash flow 5yrs'!G23</f>
        <v>994598.75864897366</v>
      </c>
      <c r="J8" s="112">
        <f>'Cash flow 5yrs'!H23</f>
        <v>2087836.6376842379</v>
      </c>
    </row>
    <row r="9" spans="1:15" ht="20.25" customHeight="1" x14ac:dyDescent="0.3">
      <c r="A9" s="68"/>
      <c r="B9" s="99" t="s">
        <v>68</v>
      </c>
      <c r="C9" s="99"/>
      <c r="D9" s="112">
        <v>0</v>
      </c>
      <c r="E9" s="112"/>
      <c r="F9" s="112">
        <v>0</v>
      </c>
      <c r="G9" s="112">
        <v>0</v>
      </c>
      <c r="H9" s="112">
        <v>0</v>
      </c>
      <c r="I9" s="112">
        <v>0</v>
      </c>
      <c r="J9" s="112">
        <v>0</v>
      </c>
    </row>
    <row r="10" spans="1:15" s="736" customFormat="1" ht="24" customHeight="1" x14ac:dyDescent="0.3">
      <c r="A10" s="1014" t="s">
        <v>69</v>
      </c>
      <c r="B10" s="1015"/>
      <c r="C10" s="730"/>
      <c r="D10" s="742">
        <f t="shared" ref="D10" si="0">SUM(D8:D9)</f>
        <v>80000</v>
      </c>
      <c r="E10" s="742"/>
      <c r="F10" s="735">
        <f>SUM(F8:F9)</f>
        <v>32099.606250450073</v>
      </c>
      <c r="G10" s="735">
        <f t="shared" ref="G10:H10" si="1">SUM(G8:G9)</f>
        <v>98368.939248199807</v>
      </c>
      <c r="H10" s="735">
        <f t="shared" si="1"/>
        <v>382859.30819950945</v>
      </c>
      <c r="I10" s="735">
        <f t="shared" ref="I10:J10" si="2">SUM(I8:I9)</f>
        <v>994598.75864897366</v>
      </c>
      <c r="J10" s="735">
        <f t="shared" si="2"/>
        <v>2087836.6376842379</v>
      </c>
    </row>
    <row r="11" spans="1:15" ht="13.2" customHeight="1" x14ac:dyDescent="0.3">
      <c r="A11" s="68"/>
      <c r="B11" s="99"/>
      <c r="C11" s="99"/>
      <c r="D11" s="323"/>
      <c r="E11" s="323"/>
      <c r="F11" s="143"/>
      <c r="G11" s="143"/>
      <c r="H11" s="143"/>
      <c r="I11" s="143"/>
      <c r="J11" s="143"/>
    </row>
    <row r="12" spans="1:15" s="123" customFormat="1" ht="28.2" customHeight="1" x14ac:dyDescent="0.3">
      <c r="A12" s="136" t="s">
        <v>70</v>
      </c>
      <c r="B12" s="137"/>
      <c r="C12" s="329"/>
      <c r="D12" s="324">
        <f t="shared" ref="D12:H12" si="3">D5+D10</f>
        <v>80000</v>
      </c>
      <c r="E12" s="324"/>
      <c r="F12" s="144">
        <f t="shared" si="3"/>
        <v>32099.606250450073</v>
      </c>
      <c r="G12" s="144">
        <f t="shared" si="3"/>
        <v>104768.93924819981</v>
      </c>
      <c r="H12" s="144">
        <f t="shared" si="3"/>
        <v>387659.30819950945</v>
      </c>
      <c r="I12" s="144">
        <f t="shared" ref="I12:J12" si="4">I5+I10</f>
        <v>997798.75864897366</v>
      </c>
      <c r="J12" s="144">
        <f t="shared" si="4"/>
        <v>2089436.6376842379</v>
      </c>
    </row>
    <row r="13" spans="1:15" s="3" customFormat="1" ht="14.4" customHeight="1" x14ac:dyDescent="0.3">
      <c r="A13" s="69"/>
      <c r="B13" s="127"/>
      <c r="C13" s="127"/>
      <c r="D13" s="325"/>
      <c r="E13" s="325"/>
      <c r="F13" s="145"/>
      <c r="G13" s="145"/>
      <c r="H13" s="145"/>
      <c r="I13" s="145"/>
      <c r="J13" s="145"/>
    </row>
    <row r="14" spans="1:15" s="3" customFormat="1" ht="20.25" customHeight="1" x14ac:dyDescent="0.3">
      <c r="A14" s="1010" t="s">
        <v>71</v>
      </c>
      <c r="B14" s="1011"/>
      <c r="C14" s="282"/>
      <c r="D14" s="322" t="s">
        <v>63</v>
      </c>
      <c r="E14" s="322"/>
      <c r="F14" s="138" t="s">
        <v>2</v>
      </c>
      <c r="G14" s="138" t="s">
        <v>3</v>
      </c>
      <c r="H14" s="138" t="s">
        <v>4</v>
      </c>
      <c r="I14" s="138" t="s">
        <v>146</v>
      </c>
      <c r="J14" s="138" t="s">
        <v>147</v>
      </c>
    </row>
    <row r="15" spans="1:15" ht="20.25" customHeight="1" x14ac:dyDescent="0.3">
      <c r="A15" s="130"/>
      <c r="B15" s="131" t="s">
        <v>72</v>
      </c>
      <c r="C15" s="131"/>
      <c r="D15" s="112">
        <v>0</v>
      </c>
      <c r="E15" s="112"/>
      <c r="F15" s="112">
        <v>0</v>
      </c>
      <c r="G15" s="112">
        <v>0</v>
      </c>
      <c r="H15" s="112">
        <v>0</v>
      </c>
      <c r="I15" s="112">
        <v>0</v>
      </c>
      <c r="J15" s="112">
        <v>0</v>
      </c>
    </row>
    <row r="16" spans="1:15" ht="21.6" customHeight="1" x14ac:dyDescent="0.3">
      <c r="A16" s="130"/>
      <c r="B16" s="131" t="s">
        <v>73</v>
      </c>
      <c r="C16" s="131"/>
      <c r="D16" s="112">
        <v>0</v>
      </c>
      <c r="E16" s="112"/>
      <c r="F16" s="112">
        <f>'Expenses 5yrs'!C39+'VAT 1st yr'!U18</f>
        <v>1512</v>
      </c>
      <c r="G16" s="112">
        <f>'Expenses 5yrs'!D39+'VAT next yrs'!D20</f>
        <v>18291.156342342798</v>
      </c>
      <c r="H16" s="112">
        <f>'Expenses 5yrs'!E39+'VAT next yrs'!E20</f>
        <v>70227.862933406301</v>
      </c>
      <c r="I16" s="112">
        <f>'Expenses 5yrs'!F39+'VAT next yrs'!F20</f>
        <v>156951.88649702183</v>
      </c>
      <c r="J16" s="112">
        <f>'Expenses 5yrs'!G39+'VAT next yrs'!G20</f>
        <v>286886.40986869717</v>
      </c>
    </row>
    <row r="17" spans="1:11" s="62" customFormat="1" ht="26.4" customHeight="1" x14ac:dyDescent="0.3">
      <c r="A17" s="165" t="s">
        <v>74</v>
      </c>
      <c r="B17" s="166"/>
      <c r="C17" s="133"/>
      <c r="D17" s="326">
        <f>SUM(D15:D16)</f>
        <v>0</v>
      </c>
      <c r="E17" s="326"/>
      <c r="F17" s="167">
        <f>SUM(F15:F16)</f>
        <v>1512</v>
      </c>
      <c r="G17" s="167">
        <f>SUM(G15:G16)</f>
        <v>18291.156342342798</v>
      </c>
      <c r="H17" s="167">
        <f>SUM(H15:H16)</f>
        <v>70227.862933406301</v>
      </c>
      <c r="I17" s="167">
        <f>SUM(I15:I16)</f>
        <v>156951.88649702183</v>
      </c>
      <c r="J17" s="167">
        <f>SUM(J15:J16)</f>
        <v>286886.40986869717</v>
      </c>
    </row>
    <row r="18" spans="1:11" s="3" customFormat="1" ht="13.2" customHeight="1" x14ac:dyDescent="0.3">
      <c r="A18" s="69"/>
      <c r="B18" s="127"/>
      <c r="C18" s="127"/>
      <c r="D18" s="325"/>
      <c r="E18" s="325"/>
      <c r="F18" s="145"/>
      <c r="G18" s="145"/>
      <c r="H18" s="145"/>
      <c r="I18" s="145"/>
      <c r="J18" s="145"/>
    </row>
    <row r="19" spans="1:11" s="124" customFormat="1" ht="27" customHeight="1" x14ac:dyDescent="0.3">
      <c r="A19" s="139" t="s">
        <v>296</v>
      </c>
      <c r="B19" s="140"/>
      <c r="C19" s="330"/>
      <c r="D19" s="327">
        <f>D12-D17</f>
        <v>80000</v>
      </c>
      <c r="E19" s="327"/>
      <c r="F19" s="146">
        <f>F12-F17</f>
        <v>30587.606250450073</v>
      </c>
      <c r="G19" s="146">
        <f>G12-G17</f>
        <v>86477.782905857006</v>
      </c>
      <c r="H19" s="146">
        <f>H12-H17</f>
        <v>317431.44526610314</v>
      </c>
      <c r="I19" s="146">
        <f>I12-I17</f>
        <v>840846.87215195177</v>
      </c>
      <c r="J19" s="146">
        <f>J12-J17</f>
        <v>1802550.2278155407</v>
      </c>
    </row>
    <row r="20" spans="1:11" ht="13.2" customHeight="1" x14ac:dyDescent="0.3">
      <c r="A20" s="98"/>
      <c r="B20" s="41"/>
      <c r="C20" s="41"/>
      <c r="D20" s="328"/>
      <c r="E20" s="328"/>
      <c r="F20" s="143"/>
      <c r="G20" s="143"/>
      <c r="H20" s="143"/>
      <c r="I20" s="143"/>
      <c r="J20" s="143"/>
    </row>
    <row r="21" spans="1:11" s="3" customFormat="1" ht="20.25" customHeight="1" x14ac:dyDescent="0.3">
      <c r="A21" s="1010" t="s">
        <v>75</v>
      </c>
      <c r="B21" s="1011"/>
      <c r="C21" s="282"/>
      <c r="D21" s="322" t="s">
        <v>63</v>
      </c>
      <c r="E21" s="322"/>
      <c r="F21" s="138" t="s">
        <v>2</v>
      </c>
      <c r="G21" s="138" t="s">
        <v>3</v>
      </c>
      <c r="H21" s="138" t="s">
        <v>4</v>
      </c>
      <c r="I21" s="138" t="s">
        <v>146</v>
      </c>
      <c r="J21" s="138" t="s">
        <v>147</v>
      </c>
    </row>
    <row r="22" spans="1:11" ht="20.25" customHeight="1" x14ac:dyDescent="0.3">
      <c r="A22" s="98"/>
      <c r="B22" s="132" t="s">
        <v>198</v>
      </c>
      <c r="C22" s="132"/>
      <c r="D22" s="112">
        <f>'Cash flow 5yrs'!B6</f>
        <v>12638.788</v>
      </c>
      <c r="E22" s="112"/>
      <c r="F22" s="112">
        <f>D22</f>
        <v>12638.788</v>
      </c>
      <c r="G22" s="112">
        <f t="shared" ref="G22:J22" si="5">F22</f>
        <v>12638.788</v>
      </c>
      <c r="H22" s="112">
        <f t="shared" si="5"/>
        <v>12638.788</v>
      </c>
      <c r="I22" s="112">
        <f t="shared" si="5"/>
        <v>12638.788</v>
      </c>
      <c r="J22" s="112">
        <f t="shared" si="5"/>
        <v>12638.788</v>
      </c>
    </row>
    <row r="23" spans="1:11" ht="20.25" customHeight="1" x14ac:dyDescent="0.3">
      <c r="A23" s="98"/>
      <c r="B23" s="132" t="s">
        <v>197</v>
      </c>
      <c r="C23" s="132"/>
      <c r="D23" s="112">
        <f>'Cash flow 5yrs'!B9</f>
        <v>80000</v>
      </c>
      <c r="E23" s="112"/>
      <c r="F23" s="112">
        <f>D23</f>
        <v>80000</v>
      </c>
      <c r="G23" s="112">
        <f t="shared" ref="G23" si="6">F23</f>
        <v>80000</v>
      </c>
      <c r="H23" s="112">
        <f t="shared" ref="H23:J23" si="7">G23</f>
        <v>80000</v>
      </c>
      <c r="I23" s="112">
        <f t="shared" si="7"/>
        <v>80000</v>
      </c>
      <c r="J23" s="112">
        <f t="shared" si="7"/>
        <v>80000</v>
      </c>
    </row>
    <row r="24" spans="1:11" ht="20.25" customHeight="1" x14ac:dyDescent="0.3">
      <c r="A24" s="98"/>
      <c r="B24" s="132" t="s">
        <v>76</v>
      </c>
      <c r="C24" s="132"/>
      <c r="D24" s="112">
        <f>'P&amp;L'!B51</f>
        <v>-12638.788</v>
      </c>
      <c r="E24" s="112"/>
      <c r="F24" s="112">
        <f>'P&amp;L'!D51</f>
        <v>-49412.393749549898</v>
      </c>
      <c r="G24" s="112">
        <f>'P&amp;L'!F51</f>
        <v>55890.176655406947</v>
      </c>
      <c r="H24" s="112">
        <f>'P&amp;L'!H51</f>
        <v>230953.66236024624</v>
      </c>
      <c r="I24" s="112">
        <f>'P&amp;L'!J51</f>
        <v>523415.42688584857</v>
      </c>
      <c r="J24" s="112">
        <f>'P&amp;L'!L51</f>
        <v>961703.35566358897</v>
      </c>
    </row>
    <row r="25" spans="1:11" ht="20.25" customHeight="1" x14ac:dyDescent="0.3">
      <c r="A25" s="98"/>
      <c r="B25" s="132" t="s">
        <v>77</v>
      </c>
      <c r="C25" s="132"/>
      <c r="D25" s="112"/>
      <c r="E25" s="112"/>
      <c r="F25" s="112">
        <f>D24+D25</f>
        <v>-12638.788</v>
      </c>
      <c r="G25" s="112">
        <f>F24+F25</f>
        <v>-62051.181749549898</v>
      </c>
      <c r="H25" s="112">
        <f>G24+G25</f>
        <v>-6161.0050941429508</v>
      </c>
      <c r="I25" s="112">
        <f>H24+H25</f>
        <v>224792.65726610328</v>
      </c>
      <c r="J25" s="112">
        <f>I24+I25</f>
        <v>748208.08415195183</v>
      </c>
    </row>
    <row r="26" spans="1:11" s="125" customFormat="1" ht="28.2" customHeight="1" x14ac:dyDescent="0.3">
      <c r="A26" s="141" t="s">
        <v>78</v>
      </c>
      <c r="B26" s="142"/>
      <c r="C26" s="133"/>
      <c r="D26" s="326">
        <f>SUM(D22:D25)</f>
        <v>80000</v>
      </c>
      <c r="E26" s="326"/>
      <c r="F26" s="147">
        <f>SUM(F22:F25)</f>
        <v>30587.606250450102</v>
      </c>
      <c r="G26" s="147">
        <f t="shared" ref="G26:H26" si="8">SUM(G22:G25)</f>
        <v>86477.78290585705</v>
      </c>
      <c r="H26" s="147">
        <f t="shared" si="8"/>
        <v>317431.44526610326</v>
      </c>
      <c r="I26" s="147">
        <f t="shared" ref="I26:J26" si="9">SUM(I22:I25)</f>
        <v>840846.87215195189</v>
      </c>
      <c r="J26" s="147">
        <f t="shared" si="9"/>
        <v>1802550.2278155407</v>
      </c>
    </row>
    <row r="27" spans="1:11" ht="13.2" customHeight="1" x14ac:dyDescent="0.3">
      <c r="A27" s="98"/>
      <c r="B27" s="41"/>
      <c r="C27" s="41"/>
      <c r="D27" s="328"/>
      <c r="E27" s="328"/>
      <c r="F27" s="143"/>
      <c r="G27" s="143"/>
      <c r="H27" s="143"/>
      <c r="I27" s="143"/>
      <c r="J27" s="143"/>
    </row>
    <row r="28" spans="1:11" ht="20.25" customHeight="1" x14ac:dyDescent="0.3">
      <c r="A28" s="1010" t="s">
        <v>79</v>
      </c>
      <c r="B28" s="1011"/>
      <c r="C28" s="282"/>
      <c r="D28" s="322" t="s">
        <v>63</v>
      </c>
      <c r="E28" s="322"/>
      <c r="F28" s="138" t="s">
        <v>2</v>
      </c>
      <c r="G28" s="138" t="s">
        <v>3</v>
      </c>
      <c r="H28" s="138" t="s">
        <v>4</v>
      </c>
      <c r="I28" s="138" t="s">
        <v>146</v>
      </c>
      <c r="J28" s="138" t="s">
        <v>147</v>
      </c>
    </row>
    <row r="29" spans="1:11" ht="20.25" customHeight="1" x14ac:dyDescent="0.3">
      <c r="A29" s="128"/>
      <c r="B29" s="131" t="s">
        <v>72</v>
      </c>
      <c r="C29" s="131"/>
      <c r="D29" s="112">
        <v>0</v>
      </c>
      <c r="E29" s="112"/>
      <c r="F29" s="112">
        <v>0</v>
      </c>
      <c r="G29" s="112">
        <v>0</v>
      </c>
      <c r="H29" s="112">
        <v>0</v>
      </c>
      <c r="I29" s="112">
        <v>0</v>
      </c>
      <c r="J29" s="112">
        <v>0</v>
      </c>
    </row>
    <row r="30" spans="1:11" s="3" customFormat="1" ht="18" customHeight="1" x14ac:dyDescent="0.3">
      <c r="A30" s="69"/>
      <c r="B30" s="132" t="s">
        <v>80</v>
      </c>
      <c r="C30" s="132"/>
      <c r="D30" s="112">
        <v>0</v>
      </c>
      <c r="E30" s="112"/>
      <c r="F30" s="112">
        <v>0</v>
      </c>
      <c r="G30" s="112">
        <v>0</v>
      </c>
      <c r="H30" s="112">
        <v>0</v>
      </c>
      <c r="I30" s="112">
        <v>0</v>
      </c>
      <c r="J30" s="112">
        <v>0</v>
      </c>
      <c r="K30" s="33"/>
    </row>
    <row r="31" spans="1:11" s="62" customFormat="1" ht="24.6" customHeight="1" x14ac:dyDescent="0.3">
      <c r="A31" s="165" t="s">
        <v>81</v>
      </c>
      <c r="B31" s="166"/>
      <c r="C31" s="133"/>
      <c r="D31" s="326">
        <f>SUM(D29:D30)</f>
        <v>0</v>
      </c>
      <c r="E31" s="326"/>
      <c r="F31" s="167">
        <f t="shared" ref="F31:H31" si="10">SUM(F29:F30)</f>
        <v>0</v>
      </c>
      <c r="G31" s="167">
        <f t="shared" si="10"/>
        <v>0</v>
      </c>
      <c r="H31" s="167">
        <f t="shared" si="10"/>
        <v>0</v>
      </c>
      <c r="I31" s="167">
        <f t="shared" ref="I31:J31" si="11">SUM(I29:I30)</f>
        <v>0</v>
      </c>
      <c r="J31" s="167">
        <f t="shared" si="11"/>
        <v>0</v>
      </c>
    </row>
    <row r="32" spans="1:11" s="3" customFormat="1" ht="17.399999999999999" customHeight="1" x14ac:dyDescent="0.3">
      <c r="B32" s="64"/>
      <c r="C32" s="64"/>
      <c r="D32" s="126"/>
      <c r="E32" s="126"/>
      <c r="F32" s="126"/>
      <c r="G32" s="126"/>
      <c r="H32" s="126"/>
      <c r="I32" s="126"/>
      <c r="J32" s="126"/>
      <c r="K32" s="33"/>
    </row>
    <row r="33" spans="1:11" ht="17.399999999999999" customHeight="1" x14ac:dyDescent="0.3">
      <c r="D33" s="8"/>
      <c r="E33" s="8"/>
      <c r="F33" s="148"/>
      <c r="G33" s="148"/>
      <c r="H33" s="148"/>
      <c r="I33" s="148"/>
      <c r="J33" s="148"/>
      <c r="K33" s="32"/>
    </row>
    <row r="34" spans="1:11" s="7" customFormat="1" ht="27.6" customHeight="1" x14ac:dyDescent="0.3">
      <c r="A34" s="7" t="s">
        <v>82</v>
      </c>
      <c r="C34" s="2"/>
      <c r="D34" s="587">
        <f>D19-D26-D31</f>
        <v>0</v>
      </c>
      <c r="E34" s="215"/>
      <c r="F34" s="588">
        <f t="shared" ref="F34:H34" si="12">F19-F26-F31</f>
        <v>-2.9103830456733704E-11</v>
      </c>
      <c r="G34" s="588">
        <f t="shared" si="12"/>
        <v>-4.3655745685100555E-11</v>
      </c>
      <c r="H34" s="588">
        <f t="shared" si="12"/>
        <v>-1.1641532182693481E-10</v>
      </c>
      <c r="I34" s="588">
        <f t="shared" ref="I34:J34" si="13">I19-I26-I31</f>
        <v>-1.1641532182693481E-10</v>
      </c>
      <c r="J34" s="588">
        <f t="shared" si="13"/>
        <v>0</v>
      </c>
      <c r="K34" s="586"/>
    </row>
    <row r="35" spans="1:11" ht="20.25" customHeight="1" x14ac:dyDescent="0.3">
      <c r="F35" s="122"/>
      <c r="G35" s="5"/>
      <c r="H35" s="5"/>
      <c r="I35" s="5"/>
      <c r="J35" s="5"/>
    </row>
    <row r="36" spans="1:11" ht="20.25" customHeight="1" x14ac:dyDescent="0.3">
      <c r="F36" s="122"/>
      <c r="G36" s="5"/>
      <c r="H36" s="5"/>
      <c r="I36" s="5"/>
      <c r="J36" s="5"/>
    </row>
    <row r="37" spans="1:11" ht="20.25" customHeight="1" x14ac:dyDescent="0.3">
      <c r="F37" s="122"/>
      <c r="G37" s="122"/>
      <c r="H37" s="122"/>
      <c r="I37" s="122"/>
      <c r="J37" s="122"/>
    </row>
  </sheetData>
  <mergeCells count="7">
    <mergeCell ref="A1:B1"/>
    <mergeCell ref="A28:B28"/>
    <mergeCell ref="A3:B3"/>
    <mergeCell ref="A7:B7"/>
    <mergeCell ref="A10:B10"/>
    <mergeCell ref="A14:B14"/>
    <mergeCell ref="A21:B21"/>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0CDB7-AED3-4A5E-8D9D-70E0DC35E0DA}">
  <dimension ref="A1:C21"/>
  <sheetViews>
    <sheetView workbookViewId="0">
      <pane ySplit="1" topLeftCell="A2" activePane="bottomLeft" state="frozen"/>
      <selection pane="bottomLeft" activeCell="B9" sqref="B9"/>
    </sheetView>
  </sheetViews>
  <sheetFormatPr defaultRowHeight="15" customHeight="1" x14ac:dyDescent="0.3"/>
  <cols>
    <col min="1" max="1" width="48.5546875" style="2" customWidth="1"/>
    <col min="2" max="2" width="12" style="2" customWidth="1"/>
    <col min="3" max="3" width="24.21875" style="2" customWidth="1"/>
    <col min="4" max="16384" width="8.88671875" style="2"/>
  </cols>
  <sheetData>
    <row r="1" spans="1:3" ht="24.6" customHeight="1" x14ac:dyDescent="0.3">
      <c r="A1" s="52" t="s">
        <v>6</v>
      </c>
      <c r="B1" s="53" t="s">
        <v>1</v>
      </c>
      <c r="C1" s="51" t="s">
        <v>0</v>
      </c>
    </row>
    <row r="2" spans="1:3" ht="16.8" customHeight="1" x14ac:dyDescent="0.3">
      <c r="A2" s="3"/>
      <c r="B2" s="5"/>
    </row>
    <row r="3" spans="1:3" ht="21.6" customHeight="1" x14ac:dyDescent="0.3">
      <c r="A3" s="10" t="s">
        <v>373</v>
      </c>
      <c r="B3" s="54">
        <f>'Computs fore costs'!B6</f>
        <v>8000</v>
      </c>
      <c r="C3" s="2" t="s">
        <v>372</v>
      </c>
    </row>
    <row r="4" spans="1:3" ht="25.2" customHeight="1" x14ac:dyDescent="0.3">
      <c r="A4" s="2" t="s">
        <v>26</v>
      </c>
      <c r="B4" s="5">
        <f>SUM(B3:B3)</f>
        <v>8000</v>
      </c>
    </row>
    <row r="5" spans="1:3" ht="15" customHeight="1" x14ac:dyDescent="0.3">
      <c r="B5" s="32"/>
    </row>
    <row r="6" spans="1:3" ht="15" customHeight="1" x14ac:dyDescent="0.3">
      <c r="A6" s="6" t="s">
        <v>37</v>
      </c>
      <c r="B6" s="32"/>
    </row>
    <row r="7" spans="1:3" ht="15" customHeight="1" x14ac:dyDescent="0.3">
      <c r="B7" s="32"/>
    </row>
    <row r="8" spans="1:3" ht="15" customHeight="1" x14ac:dyDescent="0.3">
      <c r="B8" s="32"/>
    </row>
    <row r="9" spans="1:3" ht="15" customHeight="1" x14ac:dyDescent="0.3">
      <c r="B9" s="5"/>
    </row>
    <row r="10" spans="1:3" ht="15" customHeight="1" x14ac:dyDescent="0.3">
      <c r="B10" s="5"/>
    </row>
    <row r="11" spans="1:3" ht="15" customHeight="1" x14ac:dyDescent="0.3">
      <c r="A11" s="447"/>
      <c r="B11" s="5"/>
    </row>
    <row r="12" spans="1:3" ht="15" customHeight="1" x14ac:dyDescent="0.3">
      <c r="B12" s="5"/>
    </row>
    <row r="13" spans="1:3" ht="15" customHeight="1" x14ac:dyDescent="0.3">
      <c r="B13" s="5"/>
    </row>
    <row r="14" spans="1:3" ht="15" customHeight="1" x14ac:dyDescent="0.3">
      <c r="B14" s="5"/>
    </row>
    <row r="15" spans="1:3" ht="15" customHeight="1" x14ac:dyDescent="0.3">
      <c r="B15" s="5"/>
    </row>
    <row r="16" spans="1:3" ht="15" customHeight="1" x14ac:dyDescent="0.3">
      <c r="B16" s="5"/>
    </row>
    <row r="17" spans="2:2" ht="15" customHeight="1" x14ac:dyDescent="0.3">
      <c r="B17" s="5"/>
    </row>
    <row r="18" spans="2:2" ht="15" customHeight="1" x14ac:dyDescent="0.3">
      <c r="B18" s="5"/>
    </row>
    <row r="19" spans="2:2" ht="15" customHeight="1" x14ac:dyDescent="0.3">
      <c r="B19" s="5"/>
    </row>
    <row r="20" spans="2:2" ht="15" customHeight="1" x14ac:dyDescent="0.3">
      <c r="B20" s="5"/>
    </row>
    <row r="21" spans="2:2" ht="15" customHeight="1" x14ac:dyDescent="0.3">
      <c r="B21" s="5"/>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8350-4758-42D0-8B44-2F8F41461055}">
  <dimension ref="A1:D12"/>
  <sheetViews>
    <sheetView workbookViewId="0">
      <selection activeCell="F16" sqref="F16"/>
    </sheetView>
  </sheetViews>
  <sheetFormatPr defaultRowHeight="14.4" x14ac:dyDescent="0.3"/>
  <cols>
    <col min="1" max="1" width="36.44140625" customWidth="1"/>
    <col min="2" max="2" width="14.88671875" customWidth="1"/>
    <col min="3" max="3" width="17.21875" customWidth="1"/>
    <col min="4" max="4" width="10.33203125" customWidth="1"/>
  </cols>
  <sheetData>
    <row r="1" spans="1:4" s="43" customFormat="1" ht="18" x14ac:dyDescent="0.35">
      <c r="A1" s="42" t="s">
        <v>57</v>
      </c>
    </row>
    <row r="2" spans="1:4" ht="15.6" x14ac:dyDescent="0.3">
      <c r="A2" s="1"/>
    </row>
    <row r="3" spans="1:4" s="36" customFormat="1" ht="28.8" x14ac:dyDescent="0.3">
      <c r="A3" s="44" t="s">
        <v>58</v>
      </c>
      <c r="B3" s="45" t="s">
        <v>59</v>
      </c>
      <c r="C3" s="46" t="s">
        <v>60</v>
      </c>
      <c r="D3" s="46" t="s">
        <v>61</v>
      </c>
    </row>
    <row r="4" spans="1:4" s="11" customFormat="1" ht="17.399999999999999" customHeight="1" x14ac:dyDescent="0.3">
      <c r="A4" s="50" t="str">
        <f>Invests!A3</f>
        <v>Worldwide trademark (Wipo 4 classes) authority fees</v>
      </c>
      <c r="B4" s="47">
        <f>Invests!B3</f>
        <v>8000</v>
      </c>
      <c r="C4" s="48">
        <v>5</v>
      </c>
      <c r="D4" s="49">
        <f t="shared" ref="D4" si="0">B4/C4</f>
        <v>1600</v>
      </c>
    </row>
    <row r="5" spans="1:4" ht="17.399999999999999" customHeight="1" x14ac:dyDescent="0.3"/>
    <row r="6" spans="1:4" ht="17.399999999999999" customHeight="1" x14ac:dyDescent="0.3">
      <c r="B6" s="12">
        <f>SUM(B4:B5)</f>
        <v>8000</v>
      </c>
    </row>
    <row r="7" spans="1:4" ht="17.399999999999999" customHeight="1" x14ac:dyDescent="0.3"/>
    <row r="8" spans="1:4" ht="17.399999999999999" customHeight="1" x14ac:dyDescent="0.3"/>
    <row r="9" spans="1:4" ht="17.399999999999999" customHeight="1" x14ac:dyDescent="0.3"/>
    <row r="10" spans="1:4" ht="17.399999999999999" customHeight="1" x14ac:dyDescent="0.3"/>
    <row r="11" spans="1:4" ht="17.399999999999999" customHeight="1" x14ac:dyDescent="0.3"/>
    <row r="12" spans="1:4" ht="17.399999999999999" customHeight="1"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7404-107D-4F35-92F7-A4028523F997}">
  <dimension ref="A1:W47"/>
  <sheetViews>
    <sheetView workbookViewId="0">
      <pane ySplit="3" topLeftCell="A32" activePane="bottomLeft" state="frozen"/>
      <selection pane="bottomLeft" activeCell="F15" sqref="F15"/>
    </sheetView>
  </sheetViews>
  <sheetFormatPr defaultRowHeight="21" customHeight="1" x14ac:dyDescent="0.3"/>
  <cols>
    <col min="1" max="1" width="27.44140625" style="16" customWidth="1"/>
    <col min="2" max="2" width="8.88671875" style="16"/>
    <col min="3" max="7" width="11.109375" style="16" customWidth="1"/>
    <col min="8" max="16384" width="8.88671875" style="16"/>
  </cols>
  <sheetData>
    <row r="1" spans="1:23" ht="27.6" customHeight="1" x14ac:dyDescent="0.3">
      <c r="A1" s="201" t="s">
        <v>274</v>
      </c>
      <c r="C1" s="77" t="e" vm="1">
        <v>#VALUE!</v>
      </c>
    </row>
    <row r="2" spans="1:23" ht="10.8" customHeight="1" x14ac:dyDescent="0.3"/>
    <row r="3" spans="1:23" s="646" customFormat="1" ht="23.4" customHeight="1" x14ac:dyDescent="0.3">
      <c r="A3" s="344" t="s">
        <v>262</v>
      </c>
      <c r="C3" s="655" t="s">
        <v>38</v>
      </c>
      <c r="D3" s="655" t="s">
        <v>39</v>
      </c>
      <c r="E3" s="655" t="s">
        <v>40</v>
      </c>
      <c r="F3" s="344" t="s">
        <v>141</v>
      </c>
      <c r="G3" s="344" t="s">
        <v>145</v>
      </c>
      <c r="H3" s="647"/>
      <c r="I3" s="647"/>
      <c r="J3" s="647"/>
      <c r="K3" s="347"/>
      <c r="L3" s="347"/>
      <c r="M3" s="647"/>
      <c r="N3" s="647"/>
      <c r="O3" s="647"/>
      <c r="P3" s="347"/>
      <c r="Q3" s="347"/>
      <c r="R3" s="647"/>
      <c r="S3" s="647"/>
      <c r="T3" s="647"/>
      <c r="U3" s="347"/>
      <c r="V3" s="647"/>
      <c r="W3" s="647"/>
    </row>
    <row r="4" spans="1:23" ht="21" customHeight="1" x14ac:dyDescent="0.3">
      <c r="A4" s="280" t="s">
        <v>21</v>
      </c>
      <c r="C4" s="95">
        <f>'VAT 1st yr'!W4</f>
        <v>70235.676207911645</v>
      </c>
      <c r="D4" s="95">
        <f>'Sales 5yrs'!J7</f>
        <v>181470.69210072068</v>
      </c>
      <c r="E4" s="95">
        <f>'Sales 5yrs'!O7</f>
        <v>401781.21195178351</v>
      </c>
      <c r="F4" s="95">
        <f>'Sales 5yrs'!T7</f>
        <v>767197.71755927219</v>
      </c>
      <c r="G4" s="95">
        <f>'Sales 5yrs'!Y7</f>
        <v>1312643.2581007706</v>
      </c>
      <c r="H4" s="95"/>
      <c r="I4" s="95"/>
    </row>
    <row r="5" spans="1:23" ht="21" customHeight="1" x14ac:dyDescent="0.3">
      <c r="A5" s="280" t="s">
        <v>42</v>
      </c>
      <c r="C5" s="95">
        <f>'VAT 1st yr'!W5</f>
        <v>-335.4</v>
      </c>
      <c r="D5" s="95">
        <f>'Sales 5yrs'!J12</f>
        <v>-528.255</v>
      </c>
      <c r="E5" s="95">
        <f>'Sales 5yrs'!O12</f>
        <v>-832.00162499999999</v>
      </c>
      <c r="F5" s="95">
        <f>'Sales 5yrs'!T12</f>
        <v>-1135.6822181250002</v>
      </c>
      <c r="G5" s="95">
        <f>'Sales 5yrs'!Y12</f>
        <v>-1371.3362783859377</v>
      </c>
      <c r="H5" s="95"/>
      <c r="I5" s="95"/>
    </row>
    <row r="6" spans="1:23" ht="21" customHeight="1" x14ac:dyDescent="0.3">
      <c r="A6" s="280" t="s">
        <v>240</v>
      </c>
      <c r="C6" s="205">
        <f>'VAT 1st yr'!W6</f>
        <v>-117800.66995746156</v>
      </c>
      <c r="D6" s="205">
        <f>-'Expenses 5yrs'!D32</f>
        <v>-108769.73900762569</v>
      </c>
      <c r="E6" s="205">
        <f>-'Expenses 5yrs'!E32</f>
        <v>-112585.85290425729</v>
      </c>
      <c r="F6" s="205">
        <f>-'Expenses 5yrs'!F32</f>
        <v>-116569.35592888972</v>
      </c>
      <c r="G6" s="205">
        <f>-'Expenses 5yrs'!G32</f>
        <v>-120615.00226782646</v>
      </c>
      <c r="H6" s="95"/>
      <c r="I6" s="95"/>
    </row>
    <row r="7" spans="1:23" ht="21" customHeight="1" x14ac:dyDescent="0.3">
      <c r="C7" s="95">
        <f>SUM(C4:C6)</f>
        <v>-47900.393749549912</v>
      </c>
      <c r="D7" s="95">
        <f t="shared" ref="D7:G7" si="0">SUM(D4:D6)</f>
        <v>72172.698093094994</v>
      </c>
      <c r="E7" s="95">
        <f t="shared" si="0"/>
        <v>288363.35742252623</v>
      </c>
      <c r="F7" s="95">
        <f t="shared" si="0"/>
        <v>649492.67941225751</v>
      </c>
      <c r="G7" s="95">
        <f t="shared" si="0"/>
        <v>1190656.9195545581</v>
      </c>
      <c r="H7" s="95"/>
      <c r="I7" s="95"/>
    </row>
    <row r="8" spans="1:23" ht="14.4" customHeight="1" x14ac:dyDescent="0.3">
      <c r="C8" s="95"/>
      <c r="D8" s="95"/>
      <c r="E8" s="95"/>
      <c r="F8" s="95"/>
      <c r="G8" s="95"/>
      <c r="H8" s="95"/>
      <c r="I8" s="95"/>
    </row>
    <row r="9" spans="1:23" ht="14.4" customHeight="1" x14ac:dyDescent="0.3">
      <c r="C9" s="95"/>
      <c r="D9" s="95"/>
      <c r="E9" s="95"/>
      <c r="F9" s="95"/>
      <c r="G9" s="95"/>
      <c r="H9" s="95"/>
      <c r="I9" s="95"/>
    </row>
    <row r="10" spans="1:23" ht="21" customHeight="1" x14ac:dyDescent="0.3">
      <c r="A10" s="655" t="s">
        <v>281</v>
      </c>
      <c r="C10" s="655" t="s">
        <v>38</v>
      </c>
      <c r="D10" s="655" t="s">
        <v>39</v>
      </c>
      <c r="E10" s="655" t="s">
        <v>40</v>
      </c>
      <c r="F10" s="344" t="s">
        <v>141</v>
      </c>
      <c r="G10" s="344" t="s">
        <v>145</v>
      </c>
      <c r="H10" s="95"/>
      <c r="I10" s="95"/>
    </row>
    <row r="11" spans="1:23" ht="21" customHeight="1" x14ac:dyDescent="0.3">
      <c r="A11" s="29" t="str">
        <f t="shared" ref="A11:A14" si="1">A25 &amp; " " &amp; B25</f>
        <v>UK VAT</v>
      </c>
      <c r="C11" s="95">
        <f>'VAT 1st yr'!W11</f>
        <v>0</v>
      </c>
      <c r="D11" s="95">
        <f>IF( AND(((D4+D5)*$B$40)&gt;$C$25, D7&gt;0), D7*$D$25, 0 )</f>
        <v>14434.539618618999</v>
      </c>
      <c r="E11" s="95">
        <f>IF( AND(((E4+E5)*$B$40)&gt;$C$25, E7&gt;0), E7*$D$25, 0 )</f>
        <v>57672.671484505248</v>
      </c>
      <c r="F11" s="95">
        <f>IF( AND(((F4+F5)*$B$40)&gt;$C$25, F7&gt;0), F7*$D$25, 0 )</f>
        <v>129898.53588245151</v>
      </c>
      <c r="G11" s="95">
        <f>IF( AND(((G4+G5)*$B$40)&gt;$C$25, G7&gt;0), G7*$D$25, 0 )</f>
        <v>238131.38391091162</v>
      </c>
      <c r="H11" s="95"/>
      <c r="I11" s="95"/>
    </row>
    <row r="12" spans="1:23" ht="21" customHeight="1" x14ac:dyDescent="0.3">
      <c r="A12" s="29" t="str">
        <f t="shared" si="1"/>
        <v>EEA (OSS)*** VAT</v>
      </c>
      <c r="C12" s="95">
        <f>'VAT 1st yr'!W12</f>
        <v>0</v>
      </c>
      <c r="D12" s="95">
        <f>(D4+D5)*$B$41*$D$26</f>
        <v>0</v>
      </c>
      <c r="E12" s="95">
        <f>(E4+E5)*$B$41*$D$26</f>
        <v>0</v>
      </c>
      <c r="F12" s="95">
        <f>(F4+F5)*$B$41*$D$26</f>
        <v>0</v>
      </c>
      <c r="G12" s="95">
        <f>(G4+G5)*$B$41*$D$26</f>
        <v>0</v>
      </c>
      <c r="H12" s="95"/>
      <c r="I12" s="95"/>
    </row>
    <row r="13" spans="1:23" ht="21" customHeight="1" x14ac:dyDescent="0.3">
      <c r="A13" s="29" t="str">
        <f t="shared" si="1"/>
        <v>USA Sales tax</v>
      </c>
      <c r="C13" s="95">
        <f>'VAT 1st yr'!W13</f>
        <v>0</v>
      </c>
      <c r="D13" s="95">
        <f>IF(((D4+D5)*$B$42)&gt;$C$27,(D4+D5)*$D$27,0)</f>
        <v>0</v>
      </c>
      <c r="E13" s="95">
        <f>IF(((E4+E5)*$B$42)&gt;$C$27,(E4+E5)*$D$27,0)</f>
        <v>0</v>
      </c>
      <c r="F13" s="95">
        <f>IF(((F4+F5)*$B$42)&gt;$C$27,(F4+F5)*$D$27,0)</f>
        <v>0</v>
      </c>
      <c r="G13" s="95">
        <f>IF(((G4+G5)*$B$42)&gt;$C$27,(G4+G5)*$D$27,0)</f>
        <v>0</v>
      </c>
      <c r="H13" s="95"/>
      <c r="I13" s="95"/>
    </row>
    <row r="14" spans="1:23" ht="21" customHeight="1" x14ac:dyDescent="0.3">
      <c r="A14" s="29" t="str">
        <f t="shared" si="1"/>
        <v>Canada GST/HST/QST</v>
      </c>
      <c r="C14" s="95">
        <f>'VAT 1st yr'!W14</f>
        <v>0</v>
      </c>
      <c r="D14" s="95">
        <f>IF(((D4+D5)*$B$43)&gt;$C$28,(D4+D5)*$D$28,0)</f>
        <v>0</v>
      </c>
      <c r="E14" s="95">
        <f>IF(((E4+E5)*$B$43)&gt;$C$28,(E4+E5)*$D$28,0)</f>
        <v>0</v>
      </c>
      <c r="F14" s="95">
        <f>IF(((F4+F5)*$B$43)&gt;$C$28,(F4+F5)*$D$28,0)</f>
        <v>0</v>
      </c>
      <c r="G14" s="95">
        <f>IF(((G4+G5)*$B$43)&gt;$C$28,(G4+G5)*$D$28,0)</f>
        <v>0</v>
      </c>
      <c r="H14" s="95"/>
      <c r="I14" s="95"/>
    </row>
    <row r="15" spans="1:23" ht="21" customHeight="1" x14ac:dyDescent="0.3">
      <c r="A15" s="29" t="s">
        <v>327</v>
      </c>
      <c r="C15" s="95">
        <f>IF('VAT 1st yr'!W15&lt;0,0,'VAT 1st yr'!W15)</f>
        <v>0</v>
      </c>
      <c r="D15" s="95">
        <f>(D4+D5)*$B44*$D29</f>
        <v>0</v>
      </c>
      <c r="E15" s="95">
        <f t="shared" ref="E15:G15" si="2">(E4+E5)*$B44*$D29</f>
        <v>0</v>
      </c>
      <c r="F15" s="95">
        <f t="shared" si="2"/>
        <v>0</v>
      </c>
      <c r="G15" s="95">
        <f t="shared" si="2"/>
        <v>0</v>
      </c>
      <c r="H15" s="95"/>
      <c r="I15" s="95"/>
    </row>
    <row r="16" spans="1:23" ht="21" customHeight="1" x14ac:dyDescent="0.3">
      <c r="A16" s="29" t="str">
        <f>A30 &amp; " " &amp; B30</f>
        <v>Australia GST</v>
      </c>
      <c r="C16" s="95">
        <f>'VAT 1st yr'!W16</f>
        <v>0</v>
      </c>
      <c r="D16" s="95">
        <f>IF( AND(((D4+D5)*$B$45)&gt;$C$30, D$7&gt;0), D$7*$D$30, 0 )</f>
        <v>0</v>
      </c>
      <c r="E16" s="95">
        <f>IF( AND(((E4+E5)*$B$45)&gt;$C$30, E$7&gt;0), E$7*$D$30, 0 )</f>
        <v>0</v>
      </c>
      <c r="F16" s="95">
        <f>IF( AND(((F4+F5)*$B$45)&gt;$C$30, F$7&gt;0), F$7*$D$30, 0 )</f>
        <v>0</v>
      </c>
      <c r="G16" s="95">
        <f>IF( AND(((G4+G5)*$B$45)&gt;$C$30, G$7&gt;0), G$7*$D$30, 0 )</f>
        <v>0</v>
      </c>
      <c r="H16" s="95"/>
      <c r="I16" s="95"/>
    </row>
    <row r="17" spans="1:9" ht="21" customHeight="1" x14ac:dyDescent="0.3">
      <c r="A17" s="29" t="str">
        <f>A31 &amp; " " &amp; B31</f>
        <v>New Zealand GST</v>
      </c>
      <c r="C17" s="205">
        <f>'VAT 1st yr'!W17</f>
        <v>0</v>
      </c>
      <c r="D17" s="205">
        <f>IF( AND(((D4+D5)*$B$46)&gt;$C$31, D$7&gt;0), D$7*$D$31, 0 )</f>
        <v>0</v>
      </c>
      <c r="E17" s="205">
        <f>IF( AND(((E4+E5)*$B$46)&gt;$C$31, E$7&gt;0), E$7*$D$31, 0 )</f>
        <v>0</v>
      </c>
      <c r="F17" s="205">
        <f>IF( AND(((F4+F5)*$B$46)&gt;$C$31, F$7&gt;0), F$7*$D$31, 0 )</f>
        <v>0</v>
      </c>
      <c r="G17" s="205">
        <f>IF( AND(((G4+G5)*$B$46)&gt;$C$31, G$7&gt;0), G$7*$D$31, 0 )</f>
        <v>0</v>
      </c>
      <c r="H17" s="95"/>
      <c r="I17" s="95"/>
    </row>
    <row r="18" spans="1:9" s="96" customFormat="1" ht="21" customHeight="1" x14ac:dyDescent="0.3">
      <c r="A18" s="655" t="s">
        <v>26</v>
      </c>
      <c r="C18" s="674">
        <f>SUM(C11:C17)</f>
        <v>0</v>
      </c>
      <c r="D18" s="674">
        <f>SUM(D11:D17)</f>
        <v>14434.539618618999</v>
      </c>
      <c r="E18" s="674">
        <f t="shared" ref="E18:G18" si="3">SUM(E11:E17)</f>
        <v>57672.671484505248</v>
      </c>
      <c r="F18" s="674">
        <f t="shared" si="3"/>
        <v>129898.53588245151</v>
      </c>
      <c r="G18" s="674">
        <f t="shared" si="3"/>
        <v>238131.38391091162</v>
      </c>
    </row>
    <row r="19" spans="1:9" ht="18" customHeight="1" x14ac:dyDescent="0.3">
      <c r="A19" s="280"/>
    </row>
    <row r="20" spans="1:9" ht="24" customHeight="1" x14ac:dyDescent="0.3">
      <c r="A20" s="280" t="s">
        <v>266</v>
      </c>
      <c r="C20" s="334">
        <f>'VAT 1st yr'!U18</f>
        <v>0</v>
      </c>
      <c r="D20" s="334">
        <f>D18*0.25</f>
        <v>3608.6349046547498</v>
      </c>
      <c r="E20" s="334">
        <f t="shared" ref="E20:G20" si="4">E18*0.25</f>
        <v>14418.167871126312</v>
      </c>
      <c r="F20" s="334">
        <f t="shared" si="4"/>
        <v>32474.633970612878</v>
      </c>
      <c r="G20" s="334">
        <f t="shared" si="4"/>
        <v>59532.845977727906</v>
      </c>
    </row>
    <row r="21" spans="1:9" ht="21" customHeight="1" x14ac:dyDescent="0.3">
      <c r="A21" s="27" t="s">
        <v>265</v>
      </c>
    </row>
    <row r="22" spans="1:9" ht="13.8" customHeight="1" x14ac:dyDescent="0.3">
      <c r="A22" s="27"/>
    </row>
    <row r="23" spans="1:9" ht="13.2" customHeight="1" x14ac:dyDescent="0.3">
      <c r="A23" s="280"/>
    </row>
    <row r="24" spans="1:9" ht="24.6" customHeight="1" x14ac:dyDescent="0.3">
      <c r="A24" s="347" t="s">
        <v>261</v>
      </c>
      <c r="B24" s="347" t="s">
        <v>241</v>
      </c>
      <c r="C24" s="347" t="s">
        <v>257</v>
      </c>
      <c r="D24" s="347" t="s">
        <v>245</v>
      </c>
      <c r="E24" s="347" t="s">
        <v>263</v>
      </c>
      <c r="F24" s="347" t="s">
        <v>253</v>
      </c>
      <c r="G24" s="964" t="s">
        <v>354</v>
      </c>
      <c r="H24" s="964"/>
    </row>
    <row r="25" spans="1:9" ht="21" customHeight="1" x14ac:dyDescent="0.3">
      <c r="A25" s="762" t="s">
        <v>129</v>
      </c>
      <c r="B25" s="762" t="s">
        <v>242</v>
      </c>
      <c r="C25" s="82">
        <v>90000</v>
      </c>
      <c r="D25" s="864">
        <v>0.2</v>
      </c>
      <c r="E25" s="865" t="s">
        <v>328</v>
      </c>
      <c r="F25" s="762" t="s">
        <v>254</v>
      </c>
      <c r="G25" s="965" t="s">
        <v>254</v>
      </c>
      <c r="H25" s="965"/>
    </row>
    <row r="26" spans="1:9" ht="21" customHeight="1" x14ac:dyDescent="0.3">
      <c r="A26" s="762" t="s">
        <v>358</v>
      </c>
      <c r="B26" s="762" t="s">
        <v>242</v>
      </c>
      <c r="C26" s="82">
        <v>0</v>
      </c>
      <c r="D26" s="864">
        <v>0.22</v>
      </c>
      <c r="E26" s="865" t="s">
        <v>357</v>
      </c>
      <c r="F26" s="762" t="s">
        <v>255</v>
      </c>
      <c r="G26" s="965" t="s">
        <v>355</v>
      </c>
      <c r="H26" s="965"/>
    </row>
    <row r="27" spans="1:9" ht="21" customHeight="1" x14ac:dyDescent="0.3">
      <c r="A27" s="762" t="s">
        <v>248</v>
      </c>
      <c r="B27" s="762" t="s">
        <v>246</v>
      </c>
      <c r="C27" s="82">
        <v>79000</v>
      </c>
      <c r="D27" s="864">
        <v>0.08</v>
      </c>
      <c r="E27" s="865" t="s">
        <v>357</v>
      </c>
      <c r="F27" s="762" t="s">
        <v>255</v>
      </c>
      <c r="G27" s="965" t="s">
        <v>355</v>
      </c>
      <c r="H27" s="965"/>
    </row>
    <row r="28" spans="1:9" ht="21" customHeight="1" x14ac:dyDescent="0.3">
      <c r="A28" s="762" t="s">
        <v>249</v>
      </c>
      <c r="B28" s="762" t="s">
        <v>256</v>
      </c>
      <c r="C28" s="82">
        <v>18000</v>
      </c>
      <c r="D28" s="864">
        <v>0.13</v>
      </c>
      <c r="E28" s="865" t="s">
        <v>328</v>
      </c>
      <c r="F28" s="762" t="s">
        <v>254</v>
      </c>
      <c r="G28" s="965" t="s">
        <v>254</v>
      </c>
      <c r="H28" s="965"/>
    </row>
    <row r="29" spans="1:9" ht="21" customHeight="1" x14ac:dyDescent="0.3">
      <c r="A29" s="762" t="s">
        <v>327</v>
      </c>
      <c r="B29" s="762" t="s">
        <v>247</v>
      </c>
      <c r="C29" s="82">
        <v>0</v>
      </c>
      <c r="D29" s="864">
        <v>0.18</v>
      </c>
      <c r="E29" s="865" t="s">
        <v>357</v>
      </c>
      <c r="F29" s="762" t="s">
        <v>255</v>
      </c>
      <c r="G29" s="965" t="s">
        <v>255</v>
      </c>
      <c r="H29" s="965"/>
    </row>
    <row r="30" spans="1:9" ht="21" customHeight="1" x14ac:dyDescent="0.3">
      <c r="A30" s="762" t="s">
        <v>250</v>
      </c>
      <c r="B30" s="762" t="s">
        <v>247</v>
      </c>
      <c r="C30" s="82">
        <v>39000</v>
      </c>
      <c r="D30" s="864">
        <v>0.1</v>
      </c>
      <c r="E30" s="865" t="s">
        <v>328</v>
      </c>
      <c r="F30" s="762" t="s">
        <v>254</v>
      </c>
      <c r="G30" s="965" t="s">
        <v>254</v>
      </c>
      <c r="H30" s="965"/>
    </row>
    <row r="31" spans="1:9" ht="21" customHeight="1" x14ac:dyDescent="0.3">
      <c r="A31" s="762" t="s">
        <v>251</v>
      </c>
      <c r="B31" s="762" t="s">
        <v>247</v>
      </c>
      <c r="C31" s="82">
        <v>29000</v>
      </c>
      <c r="D31" s="864">
        <v>0.15</v>
      </c>
      <c r="E31" s="865" t="s">
        <v>328</v>
      </c>
      <c r="F31" s="762" t="s">
        <v>254</v>
      </c>
      <c r="G31" s="965" t="s">
        <v>254</v>
      </c>
      <c r="H31" s="965"/>
    </row>
    <row r="32" spans="1:9" ht="21" customHeight="1" x14ac:dyDescent="0.3">
      <c r="A32" s="280"/>
    </row>
    <row r="33" spans="1:14" ht="37.799999999999997" customHeight="1" x14ac:dyDescent="0.3">
      <c r="A33" s="1016" t="s">
        <v>264</v>
      </c>
      <c r="B33" s="1016"/>
      <c r="C33" s="1016"/>
      <c r="D33" s="1016"/>
      <c r="E33" s="1016"/>
      <c r="F33" s="1016"/>
      <c r="G33" s="1016"/>
      <c r="H33" s="1016"/>
      <c r="I33" s="1016"/>
      <c r="J33" s="1016"/>
      <c r="K33" s="1016"/>
      <c r="L33" s="1016"/>
      <c r="M33" s="1016"/>
      <c r="N33" s="1016"/>
    </row>
    <row r="34" spans="1:14" ht="19.8" customHeight="1" x14ac:dyDescent="0.3">
      <c r="A34" s="27" t="s">
        <v>243</v>
      </c>
      <c r="E34" s="212"/>
      <c r="F34" s="644"/>
      <c r="G34" s="644"/>
      <c r="H34" s="644"/>
      <c r="I34" s="644"/>
      <c r="J34" s="644"/>
      <c r="K34" s="65"/>
      <c r="L34" s="65"/>
    </row>
    <row r="35" spans="1:14" ht="19.8" customHeight="1" x14ac:dyDescent="0.3">
      <c r="A35" s="27" t="s">
        <v>252</v>
      </c>
      <c r="E35" s="212"/>
      <c r="F35" s="644"/>
      <c r="G35" s="644"/>
      <c r="H35" s="644"/>
      <c r="I35" s="644"/>
      <c r="J35" s="644"/>
      <c r="K35" s="65"/>
      <c r="L35" s="65"/>
    </row>
    <row r="36" spans="1:14" ht="19.8" customHeight="1" x14ac:dyDescent="0.3">
      <c r="A36" s="27" t="s">
        <v>244</v>
      </c>
      <c r="E36" s="212"/>
      <c r="F36" s="644"/>
      <c r="G36" s="644"/>
      <c r="H36" s="644"/>
      <c r="I36" s="644"/>
      <c r="J36" s="644"/>
      <c r="K36" s="65"/>
      <c r="L36" s="65"/>
    </row>
    <row r="37" spans="1:14" ht="16.2" customHeight="1" x14ac:dyDescent="0.3">
      <c r="A37" s="280"/>
    </row>
    <row r="38" spans="1:14" ht="16.2" customHeight="1" x14ac:dyDescent="0.3">
      <c r="A38" s="280"/>
    </row>
    <row r="39" spans="1:14" ht="21" customHeight="1" x14ac:dyDescent="0.3">
      <c r="A39" s="577" t="s">
        <v>131</v>
      </c>
      <c r="B39" s="654" t="s">
        <v>260</v>
      </c>
    </row>
    <row r="40" spans="1:14" ht="21" customHeight="1" x14ac:dyDescent="0.3">
      <c r="A40" s="16" t="s">
        <v>129</v>
      </c>
      <c r="B40" s="30">
        <f>'VAT 1st yr'!B39</f>
        <v>1</v>
      </c>
    </row>
    <row r="41" spans="1:14" ht="21" customHeight="1" x14ac:dyDescent="0.3">
      <c r="A41" s="16" t="s">
        <v>130</v>
      </c>
      <c r="B41" s="30">
        <f>'VAT 1st yr'!B40</f>
        <v>0</v>
      </c>
    </row>
    <row r="42" spans="1:14" ht="21" customHeight="1" x14ac:dyDescent="0.3">
      <c r="A42" s="16" t="s">
        <v>248</v>
      </c>
      <c r="B42" s="30">
        <f>'VAT 1st yr'!B41</f>
        <v>0</v>
      </c>
    </row>
    <row r="43" spans="1:14" ht="21" customHeight="1" x14ac:dyDescent="0.3">
      <c r="A43" s="16" t="s">
        <v>249</v>
      </c>
      <c r="B43" s="30">
        <f>'VAT 1st yr'!B42</f>
        <v>0</v>
      </c>
    </row>
    <row r="44" spans="1:14" ht="21" customHeight="1" x14ac:dyDescent="0.3">
      <c r="A44" s="16" t="s">
        <v>327</v>
      </c>
      <c r="B44" s="30">
        <f>'VAT 1st yr'!B43</f>
        <v>0</v>
      </c>
    </row>
    <row r="45" spans="1:14" ht="21" customHeight="1" x14ac:dyDescent="0.3">
      <c r="A45" s="16" t="s">
        <v>250</v>
      </c>
      <c r="B45" s="30">
        <f>'VAT 1st yr'!B44</f>
        <v>0</v>
      </c>
    </row>
    <row r="46" spans="1:14" ht="21" customHeight="1" x14ac:dyDescent="0.3">
      <c r="A46" s="16" t="s">
        <v>251</v>
      </c>
      <c r="B46" s="645">
        <f>'VAT 1st yr'!B45</f>
        <v>0</v>
      </c>
    </row>
    <row r="47" spans="1:14" ht="21" customHeight="1" x14ac:dyDescent="0.3">
      <c r="B47" s="30">
        <f>SUM(B40:B46)</f>
        <v>1</v>
      </c>
    </row>
  </sheetData>
  <mergeCells count="9">
    <mergeCell ref="G24:H24"/>
    <mergeCell ref="A33:N33"/>
    <mergeCell ref="G25:H25"/>
    <mergeCell ref="G26:H26"/>
    <mergeCell ref="G27:H27"/>
    <mergeCell ref="G28:H28"/>
    <mergeCell ref="G29:H29"/>
    <mergeCell ref="G30:H30"/>
    <mergeCell ref="G31:H31"/>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D8AF-23AA-4099-BE8D-BB2DBB903C25}">
  <dimension ref="A1:G17"/>
  <sheetViews>
    <sheetView workbookViewId="0">
      <selection activeCell="C18" sqref="C18"/>
    </sheetView>
  </sheetViews>
  <sheetFormatPr defaultRowHeight="14.4" x14ac:dyDescent="0.3"/>
  <cols>
    <col min="1" max="1" width="32.77734375" style="2" customWidth="1"/>
    <col min="2" max="6" width="14.88671875" style="2" customWidth="1"/>
    <col min="7" max="16384" width="8.88671875" style="2"/>
  </cols>
  <sheetData>
    <row r="1" spans="1:7" ht="24" customHeight="1" x14ac:dyDescent="0.3">
      <c r="A1" s="51" t="s">
        <v>140</v>
      </c>
    </row>
    <row r="2" spans="1:7" ht="20.399999999999999" customHeight="1" x14ac:dyDescent="0.3"/>
    <row r="3" spans="1:7" ht="20.399999999999999" customHeight="1" x14ac:dyDescent="0.3">
      <c r="A3" s="3" t="s">
        <v>139</v>
      </c>
      <c r="B3" s="744" t="s">
        <v>38</v>
      </c>
      <c r="C3" s="744" t="s">
        <v>39</v>
      </c>
      <c r="D3" s="744" t="s">
        <v>40</v>
      </c>
      <c r="E3" s="744" t="s">
        <v>141</v>
      </c>
      <c r="F3" s="744" t="s">
        <v>145</v>
      </c>
    </row>
    <row r="4" spans="1:7" ht="20.399999999999999" customHeight="1" x14ac:dyDescent="0.3">
      <c r="A4" s="2" t="s">
        <v>309</v>
      </c>
      <c r="B4" s="32">
        <f>ABS('P&amp;L'!D65/'P&amp;L'!D67)</f>
        <v>317628.81776079809</v>
      </c>
      <c r="C4" s="32">
        <f>ABS('P&amp;L'!F65/'P&amp;L'!F67)</f>
        <v>89869.882571005335</v>
      </c>
      <c r="D4" s="32">
        <f>ABS('P&amp;L'!H65/'P&amp;L'!H67)</f>
        <v>80276.748776109627</v>
      </c>
      <c r="E4" s="32">
        <f>ABS('P&amp;L'!J65/'P&amp;L'!J67)</f>
        <v>79505.584814820424</v>
      </c>
      <c r="F4" s="32">
        <f>ABS('P&amp;L'!L65/'P&amp;L'!L67)</f>
        <v>81277.08217426097</v>
      </c>
    </row>
    <row r="5" spans="1:7" ht="20.399999999999999" customHeight="1" x14ac:dyDescent="0.3"/>
    <row r="6" spans="1:7" ht="20.399999999999999" customHeight="1" x14ac:dyDescent="0.3">
      <c r="A6" s="3" t="s">
        <v>310</v>
      </c>
      <c r="B6" s="744" t="s">
        <v>38</v>
      </c>
      <c r="C6" s="744" t="s">
        <v>39</v>
      </c>
      <c r="D6" s="744" t="s">
        <v>40</v>
      </c>
      <c r="E6" s="744" t="s">
        <v>141</v>
      </c>
      <c r="F6" s="744" t="s">
        <v>145</v>
      </c>
    </row>
    <row r="7" spans="1:7" ht="20.399999999999999" customHeight="1" x14ac:dyDescent="0.3">
      <c r="A7" s="2" t="s">
        <v>311</v>
      </c>
      <c r="B7" s="55">
        <f>B4/'Custmr metrics'!B4</f>
        <v>12491.909638000312</v>
      </c>
      <c r="C7" s="55">
        <f>C4/'Custmr metrics'!C4</f>
        <v>3328.8426468588159</v>
      </c>
      <c r="D7" s="55">
        <f>D4/'Custmr metrics'!D4</f>
        <v>1838.8616764749479</v>
      </c>
      <c r="E7" s="55">
        <f>E4/'Custmr metrics'!E4</f>
        <v>1360.7875363857615</v>
      </c>
      <c r="F7" s="55">
        <f>F4/'Custmr metrics'!F4</f>
        <v>1114.1145332754872</v>
      </c>
    </row>
    <row r="8" spans="1:7" ht="20.399999999999999" customHeight="1" x14ac:dyDescent="0.3"/>
    <row r="9" spans="1:7" ht="20.399999999999999" customHeight="1" x14ac:dyDescent="0.3">
      <c r="A9" s="280" t="s">
        <v>313</v>
      </c>
      <c r="B9" s="744" t="s">
        <v>38</v>
      </c>
      <c r="C9" s="744" t="s">
        <v>39</v>
      </c>
      <c r="D9" s="744" t="s">
        <v>40</v>
      </c>
      <c r="E9" s="744" t="s">
        <v>141</v>
      </c>
      <c r="F9" s="744" t="s">
        <v>145</v>
      </c>
    </row>
    <row r="10" spans="1:7" ht="20.399999999999999" customHeight="1" x14ac:dyDescent="0.3">
      <c r="A10" s="8" t="s">
        <v>314</v>
      </c>
      <c r="B10" s="5">
        <f>'Custmr metrics'!B4</f>
        <v>25.42676235782023</v>
      </c>
      <c r="C10" s="5">
        <f>'Custmr metrics'!C4</f>
        <v>26.997335742441578</v>
      </c>
      <c r="D10" s="5">
        <f>'Custmr metrics'!D4</f>
        <v>43.655675575336453</v>
      </c>
      <c r="E10" s="5">
        <f>'Custmr metrics'!E4</f>
        <v>58.426155949360385</v>
      </c>
      <c r="F10" s="5">
        <f>'Custmr metrics'!F4</f>
        <v>72.95217838628048</v>
      </c>
    </row>
    <row r="11" spans="1:7" ht="20.399999999999999" customHeight="1" x14ac:dyDescent="0.3">
      <c r="A11" s="8" t="s">
        <v>316</v>
      </c>
      <c r="B11" s="55">
        <f>'Sales 5yrs'!E14/'Break-even'!B10</f>
        <v>2749.082845241333</v>
      </c>
      <c r="C11" s="55">
        <f>'Sales 5yrs'!J14/'Break-even'!C10</f>
        <v>6702.2330954038298</v>
      </c>
      <c r="D11" s="55">
        <f>'Sales 5yrs'!O14/'Custmr metrics'!D4</f>
        <v>9184.3547269098344</v>
      </c>
      <c r="E11" s="55">
        <f>'Sales 5yrs'!T14/'Custmr metrics'!E4</f>
        <v>13111.628223583886</v>
      </c>
      <c r="F11" s="55">
        <f>'Sales 5yrs'!Y14/'Custmr metrics'!F4</f>
        <v>17974.403929094802</v>
      </c>
    </row>
    <row r="12" spans="1:7" ht="20.399999999999999" customHeight="1" x14ac:dyDescent="0.3">
      <c r="A12" s="8" t="s">
        <v>315</v>
      </c>
      <c r="B12" s="5">
        <f>'P&amp;L'!D64/'Break-even'!B11</f>
        <v>20.355093241596801</v>
      </c>
      <c r="C12" s="5">
        <f>'P&amp;L'!F64/'Break-even'!C11</f>
        <v>6.5430719548460266</v>
      </c>
      <c r="D12" s="5">
        <f>'P&amp;L'!H64/'Break-even'!D11</f>
        <v>4.838951324859436</v>
      </c>
      <c r="E12" s="5">
        <f>'P&amp;L'!J64/'Break-even'!E11</f>
        <v>3.4350363992292241</v>
      </c>
      <c r="F12" s="5">
        <f>'P&amp;L'!L64/'Break-even'!F11</f>
        <v>2.5329782445415847</v>
      </c>
    </row>
    <row r="13" spans="1:7" ht="20.399999999999999" customHeight="1" x14ac:dyDescent="0.3">
      <c r="A13" s="8" t="s">
        <v>303</v>
      </c>
      <c r="B13" s="5">
        <f>B10-B12</f>
        <v>5.0716691162234291</v>
      </c>
      <c r="C13" s="5">
        <f t="shared" ref="C13:F13" si="0">C10-C12</f>
        <v>20.454263787595551</v>
      </c>
      <c r="D13" s="5">
        <f t="shared" si="0"/>
        <v>38.816724250477016</v>
      </c>
      <c r="E13" s="5">
        <f t="shared" si="0"/>
        <v>54.99111955013116</v>
      </c>
      <c r="F13" s="5">
        <f t="shared" si="0"/>
        <v>70.419200141738898</v>
      </c>
      <c r="G13" s="5"/>
    </row>
    <row r="14" spans="1:7" ht="20.399999999999999" customHeight="1" x14ac:dyDescent="0.3">
      <c r="A14" s="8"/>
    </row>
    <row r="15" spans="1:7" ht="20.399999999999999" customHeight="1" x14ac:dyDescent="0.3">
      <c r="A15" s="8" t="s">
        <v>317</v>
      </c>
      <c r="B15" s="55">
        <f>ABS('P&amp;L'!D65/'Break-even'!B13)</f>
        <v>12491.909638000319</v>
      </c>
      <c r="C15" s="55">
        <f>ABS('P&amp;L'!F65/'Break-even'!C13)</f>
        <v>3328.8426468588159</v>
      </c>
      <c r="D15" s="55">
        <f>ABS('P&amp;L'!H65/'Break-even'!D13)</f>
        <v>1838.8616764749479</v>
      </c>
      <c r="E15" s="55">
        <f>ABS('P&amp;L'!J65/'Break-even'!E13)</f>
        <v>1360.7875363857615</v>
      </c>
      <c r="F15" s="55">
        <f>ABS('P&amp;L'!L65/'Break-even'!F13)</f>
        <v>1114.1145332754875</v>
      </c>
    </row>
    <row r="16" spans="1:7" x14ac:dyDescent="0.3">
      <c r="A16" s="8"/>
    </row>
    <row r="17" spans="1:1" x14ac:dyDescent="0.3">
      <c r="A17"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171C-B55F-40A9-BC3F-7C09BABE1F0B}">
  <dimension ref="A1:AC46"/>
  <sheetViews>
    <sheetView workbookViewId="0">
      <pane ySplit="3" topLeftCell="A4" activePane="bottomLeft" state="frozen"/>
      <selection pane="bottomLeft" activeCell="O12" sqref="O12"/>
    </sheetView>
  </sheetViews>
  <sheetFormatPr defaultRowHeight="16.8" customHeight="1" x14ac:dyDescent="0.3"/>
  <cols>
    <col min="1" max="1" width="17.6640625" style="16" customWidth="1"/>
    <col min="2" max="2" width="9.21875" style="16" customWidth="1"/>
    <col min="3" max="3" width="10.44140625" style="16" customWidth="1"/>
    <col min="4" max="4" width="8.109375" style="16" customWidth="1"/>
    <col min="5" max="5" width="9.6640625" style="16" customWidth="1"/>
    <col min="6" max="6" width="8.44140625" style="16" customWidth="1"/>
    <col min="7" max="7" width="4.77734375" style="16" customWidth="1"/>
    <col min="8" max="8" width="9.33203125" style="16" customWidth="1"/>
    <col min="9" max="11" width="7.88671875" style="16" customWidth="1"/>
    <col min="12" max="12" width="6.77734375" style="16" customWidth="1"/>
    <col min="13" max="16" width="7.88671875" style="16" customWidth="1"/>
    <col min="17" max="17" width="4.109375" style="16" customWidth="1"/>
    <col min="18" max="21" width="7.88671875" style="16" customWidth="1"/>
    <col min="22" max="22" width="6.44140625" style="16" customWidth="1"/>
    <col min="23" max="26" width="7.88671875" style="16" customWidth="1"/>
    <col min="27" max="27" width="4.5546875" style="16" customWidth="1"/>
    <col min="28" max="28" width="9.44140625" style="16" customWidth="1"/>
    <col min="29" max="16384" width="8.88671875" style="16"/>
  </cols>
  <sheetData>
    <row r="1" spans="1:29" ht="29.4" customHeight="1" x14ac:dyDescent="0.3">
      <c r="A1" s="675" t="s">
        <v>273</v>
      </c>
      <c r="C1" s="77" t="e" vm="1">
        <v>#VALUE!</v>
      </c>
    </row>
    <row r="2" spans="1:29" ht="10.8" customHeight="1" x14ac:dyDescent="0.3"/>
    <row r="3" spans="1:29" s="646" customFormat="1" ht="40.799999999999997" customHeight="1" x14ac:dyDescent="0.3">
      <c r="A3" s="347" t="s">
        <v>262</v>
      </c>
      <c r="C3" s="647" t="s">
        <v>8</v>
      </c>
      <c r="D3" s="647" t="s">
        <v>9</v>
      </c>
      <c r="E3" s="647" t="s">
        <v>10</v>
      </c>
      <c r="F3" s="347" t="s">
        <v>258</v>
      </c>
      <c r="G3" s="347"/>
      <c r="H3" s="647" t="s">
        <v>11</v>
      </c>
      <c r="I3" s="647" t="s">
        <v>12</v>
      </c>
      <c r="J3" s="647" t="s">
        <v>13</v>
      </c>
      <c r="K3" s="347" t="s">
        <v>258</v>
      </c>
      <c r="L3" s="347"/>
      <c r="M3" s="647" t="s">
        <v>14</v>
      </c>
      <c r="N3" s="647" t="s">
        <v>15</v>
      </c>
      <c r="O3" s="647" t="s">
        <v>16</v>
      </c>
      <c r="P3" s="347" t="s">
        <v>258</v>
      </c>
      <c r="Q3" s="347"/>
      <c r="R3" s="647" t="s">
        <v>17</v>
      </c>
      <c r="S3" s="647" t="s">
        <v>18</v>
      </c>
      <c r="T3" s="647" t="s">
        <v>19</v>
      </c>
      <c r="U3" s="347" t="s">
        <v>258</v>
      </c>
      <c r="V3" s="647"/>
      <c r="W3" s="647" t="s">
        <v>259</v>
      </c>
    </row>
    <row r="4" spans="1:29" ht="18.600000000000001" customHeight="1" x14ac:dyDescent="0.3">
      <c r="A4" s="280" t="s">
        <v>21</v>
      </c>
      <c r="C4" s="95">
        <f>'Sales 1st yr'!E7</f>
        <v>82.9</v>
      </c>
      <c r="D4" s="95">
        <f>'Sales 1st yr'!H7</f>
        <v>131.315</v>
      </c>
      <c r="E4" s="95">
        <f>'Sales 1st yr'!K7</f>
        <v>2278.4255000000003</v>
      </c>
      <c r="F4" s="334">
        <f>SUM(C4:E4)</f>
        <v>2492.6405000000004</v>
      </c>
      <c r="G4" s="95"/>
      <c r="H4" s="95">
        <f>'Sales 1st yr'!N7</f>
        <v>3845.29286</v>
      </c>
      <c r="I4" s="95">
        <f>'Sales 1st yr'!Q7</f>
        <v>5343.5730413999991</v>
      </c>
      <c r="J4" s="95">
        <f>'Sales 1st yr'!T7</f>
        <v>5994.5087622999999</v>
      </c>
      <c r="K4" s="334">
        <f>SUM(H4:J4)</f>
        <v>15183.374663699999</v>
      </c>
      <c r="L4" s="95"/>
      <c r="M4" s="95">
        <f>'Sales 1st yr'!W7</f>
        <v>6564.7924270999993</v>
      </c>
      <c r="N4" s="95">
        <f>'Sales 1st yr'!Z7</f>
        <v>7613.9228367885007</v>
      </c>
      <c r="O4" s="95">
        <f>'Sales 1st yr'!AC7</f>
        <v>8536.2199737913343</v>
      </c>
      <c r="P4" s="334">
        <f t="shared" ref="P4:P6" si="0">SUM(M4:O4)</f>
        <v>22714.935237679834</v>
      </c>
      <c r="Q4" s="95"/>
      <c r="R4" s="95">
        <f>'Sales 1st yr'!AF7</f>
        <v>9312.3029679066676</v>
      </c>
      <c r="S4" s="95">
        <f>'Sales 1st yr'!AI7</f>
        <v>9983.1394057580055</v>
      </c>
      <c r="T4" s="95">
        <f>'Sales 1st yr'!AL7</f>
        <v>10549.283432867142</v>
      </c>
      <c r="U4" s="334">
        <f t="shared" ref="U4:U6" si="1">SUM(R4:T4)</f>
        <v>29844.725806531813</v>
      </c>
      <c r="V4" s="95"/>
      <c r="W4" s="334">
        <f>F4+K4+P4+U4</f>
        <v>70235.676207911645</v>
      </c>
      <c r="AC4" s="168" t="s">
        <v>21</v>
      </c>
    </row>
    <row r="5" spans="1:29" ht="18.600000000000001" customHeight="1" x14ac:dyDescent="0.3">
      <c r="A5" s="280" t="s">
        <v>42</v>
      </c>
      <c r="C5" s="95">
        <f>'Sales 1st yr'!E13</f>
        <v>0</v>
      </c>
      <c r="D5" s="95">
        <f>'Sales 1st yr'!H13</f>
        <v>0</v>
      </c>
      <c r="E5" s="95">
        <f>'Sales 1st yr'!K13</f>
        <v>0</v>
      </c>
      <c r="F5" s="334">
        <f t="shared" ref="F5:F6" si="2">SUM(C5:E5)</f>
        <v>0</v>
      </c>
      <c r="G5" s="95"/>
      <c r="H5" s="95">
        <f>'Sales 1st yr'!N13</f>
        <v>0</v>
      </c>
      <c r="I5" s="95">
        <f>'Sales 1st yr'!Q13</f>
        <v>-27.95</v>
      </c>
      <c r="J5" s="95">
        <f>'Sales 1st yr'!T13</f>
        <v>-27.95</v>
      </c>
      <c r="K5" s="334">
        <f>SUM(H5:J5)</f>
        <v>-55.9</v>
      </c>
      <c r="L5" s="95"/>
      <c r="M5" s="95">
        <f>'Sales 1st yr'!W13</f>
        <v>-27.95</v>
      </c>
      <c r="N5" s="95">
        <f>'Sales 1st yr'!Z13</f>
        <v>-27.95</v>
      </c>
      <c r="O5" s="95">
        <f>'Sales 1st yr'!AC13</f>
        <v>-55.9</v>
      </c>
      <c r="P5" s="334">
        <f t="shared" si="0"/>
        <v>-111.8</v>
      </c>
      <c r="Q5" s="95"/>
      <c r="R5" s="95">
        <f>'Sales 1st yr'!AF13</f>
        <v>-55.9</v>
      </c>
      <c r="S5" s="95">
        <f>'Sales 1st yr'!AI13</f>
        <v>-55.9</v>
      </c>
      <c r="T5" s="95">
        <f>'Sales 1st yr'!AL13</f>
        <v>-55.9</v>
      </c>
      <c r="U5" s="334">
        <f t="shared" si="1"/>
        <v>-167.7</v>
      </c>
      <c r="V5" s="95"/>
      <c r="W5" s="334">
        <f>F5+K5+P5+U5</f>
        <v>-335.4</v>
      </c>
      <c r="AC5" s="168" t="s">
        <v>42</v>
      </c>
    </row>
    <row r="6" spans="1:29" ht="18.600000000000001" customHeight="1" x14ac:dyDescent="0.3">
      <c r="A6" s="280" t="s">
        <v>240</v>
      </c>
      <c r="C6" s="205">
        <f>-'Expenses 1st yr'!C32</f>
        <v>-7860.7611683295045</v>
      </c>
      <c r="D6" s="205">
        <f>-'Expenses 1st yr'!D32</f>
        <v>-6244.1455629220045</v>
      </c>
      <c r="E6" s="205">
        <f>-'Expenses 1st yr'!E32</f>
        <v>-9351.1994594170064</v>
      </c>
      <c r="F6" s="653">
        <f t="shared" si="2"/>
        <v>-23456.106190668514</v>
      </c>
      <c r="G6" s="95"/>
      <c r="H6" s="205">
        <f>-'Expenses 1st yr'!F32</f>
        <v>-9154.6667920970049</v>
      </c>
      <c r="I6" s="205">
        <f>-'Expenses 1st yr'!G32</f>
        <v>-11372.003455497006</v>
      </c>
      <c r="J6" s="205">
        <f>-'Expenses 1st yr'!H32</f>
        <v>-9945.9984603970061</v>
      </c>
      <c r="K6" s="653">
        <f>SUM(H6:J6)</f>
        <v>-30472.668707991019</v>
      </c>
      <c r="L6" s="95"/>
      <c r="M6" s="205">
        <f>-'Expenses 1st yr'!I32</f>
        <v>-10749.249084784506</v>
      </c>
      <c r="N6" s="205">
        <f>-'Expenses 1st yr'!J32</f>
        <v>-11276.987746224506</v>
      </c>
      <c r="O6" s="205">
        <f>-'Expenses 1st yr'!K32</f>
        <v>-11183.705703292006</v>
      </c>
      <c r="P6" s="653">
        <f t="shared" si="0"/>
        <v>-33209.942534301015</v>
      </c>
      <c r="Q6" s="95"/>
      <c r="R6" s="205">
        <f>-'Expenses 1st yr'!L32</f>
        <v>-10285.222661339505</v>
      </c>
      <c r="S6" s="205">
        <f>-'Expenses 1st yr'!M32</f>
        <v>-10288.906702312006</v>
      </c>
      <c r="T6" s="205">
        <f>-'Expenses 1st yr'!N32</f>
        <v>-10087.823160849506</v>
      </c>
      <c r="U6" s="653">
        <f t="shared" si="1"/>
        <v>-30661.952524501015</v>
      </c>
      <c r="V6" s="95"/>
      <c r="W6" s="653">
        <f>F6+K6+P6+U6</f>
        <v>-117800.66995746156</v>
      </c>
      <c r="AC6" s="168" t="s">
        <v>240</v>
      </c>
    </row>
    <row r="7" spans="1:29" ht="18.600000000000001" customHeight="1" x14ac:dyDescent="0.3">
      <c r="C7" s="95">
        <f t="shared" ref="C7:D7" si="3">SUM(C4:C6)</f>
        <v>-7777.8611683295048</v>
      </c>
      <c r="D7" s="95">
        <f t="shared" si="3"/>
        <v>-6112.8305629220049</v>
      </c>
      <c r="E7" s="95">
        <f>SUM(E4:E6)</f>
        <v>-7072.7739594170062</v>
      </c>
      <c r="F7" s="334">
        <f>SUM(F4:F6)</f>
        <v>-20963.465690668512</v>
      </c>
      <c r="G7" s="95"/>
      <c r="H7" s="95">
        <f t="shared" ref="H7:J7" si="4">SUM(H4:H6)</f>
        <v>-5309.3739320970053</v>
      </c>
      <c r="I7" s="95">
        <f t="shared" si="4"/>
        <v>-6056.3804140970069</v>
      </c>
      <c r="J7" s="95">
        <f t="shared" si="4"/>
        <v>-3979.4396980970059</v>
      </c>
      <c r="K7" s="334">
        <f>SUM(K4:K6)</f>
        <v>-15345.19404429102</v>
      </c>
      <c r="L7" s="95"/>
      <c r="M7" s="95">
        <f t="shared" ref="M7:O7" si="5">SUM(M4:M6)</f>
        <v>-4212.4066576845062</v>
      </c>
      <c r="N7" s="95">
        <f t="shared" si="5"/>
        <v>-3691.0149094360049</v>
      </c>
      <c r="O7" s="95">
        <f t="shared" si="5"/>
        <v>-2703.385729500671</v>
      </c>
      <c r="P7" s="334">
        <f>SUM(P4:P6)</f>
        <v>-10606.80729662118</v>
      </c>
      <c r="Q7" s="95"/>
      <c r="R7" s="95">
        <f t="shared" ref="R7:T7" si="6">SUM(R4:R6)</f>
        <v>-1028.8196934328371</v>
      </c>
      <c r="S7" s="95">
        <f t="shared" si="6"/>
        <v>-361.66729655400013</v>
      </c>
      <c r="T7" s="95">
        <f t="shared" si="6"/>
        <v>405.56027201763573</v>
      </c>
      <c r="U7" s="334">
        <f>SUM(U4:U6)</f>
        <v>-984.92671796920331</v>
      </c>
      <c r="V7" s="95"/>
      <c r="W7" s="334">
        <f>SUM(W4:W6)</f>
        <v>-47900.393749549912</v>
      </c>
    </row>
    <row r="8" spans="1:29" ht="11.4" customHeight="1" x14ac:dyDescent="0.3">
      <c r="I8" s="95"/>
      <c r="J8" s="95"/>
      <c r="K8" s="95"/>
      <c r="L8" s="95"/>
      <c r="M8" s="95"/>
      <c r="N8" s="95"/>
      <c r="O8" s="95"/>
      <c r="P8" s="95"/>
      <c r="Q8" s="95"/>
      <c r="R8" s="95"/>
      <c r="S8" s="95"/>
      <c r="T8" s="95"/>
      <c r="U8" s="95"/>
      <c r="V8" s="95"/>
      <c r="W8" s="95"/>
      <c r="X8" s="95"/>
      <c r="Y8" s="95"/>
      <c r="Z8" s="334"/>
      <c r="AA8" s="95"/>
      <c r="AB8" s="334"/>
    </row>
    <row r="9" spans="1:29" ht="11.4" customHeight="1" x14ac:dyDescent="0.3">
      <c r="I9" s="95"/>
      <c r="J9" s="95"/>
      <c r="K9" s="95"/>
      <c r="L9" s="95"/>
      <c r="M9" s="95"/>
      <c r="N9" s="95"/>
      <c r="O9" s="95"/>
      <c r="P9" s="95"/>
      <c r="Q9" s="95"/>
      <c r="R9" s="334"/>
      <c r="S9" s="95"/>
      <c r="T9" s="95"/>
      <c r="U9" s="95"/>
      <c r="V9" s="334"/>
      <c r="W9" s="95"/>
      <c r="X9" s="95"/>
      <c r="Y9" s="95"/>
      <c r="Z9" s="334"/>
      <c r="AA9" s="95"/>
      <c r="AB9" s="334"/>
    </row>
    <row r="10" spans="1:29" s="647" customFormat="1" ht="24" customHeight="1" x14ac:dyDescent="0.3">
      <c r="A10" s="655" t="s">
        <v>356</v>
      </c>
      <c r="F10" s="647" t="s">
        <v>268</v>
      </c>
      <c r="I10" s="673"/>
      <c r="J10" s="673"/>
      <c r="K10" s="673" t="s">
        <v>269</v>
      </c>
      <c r="L10" s="673"/>
      <c r="M10" s="673"/>
      <c r="N10" s="673"/>
      <c r="O10" s="673"/>
      <c r="P10" s="673" t="s">
        <v>270</v>
      </c>
      <c r="Q10" s="673"/>
      <c r="R10" s="673"/>
      <c r="S10" s="673"/>
      <c r="T10" s="673"/>
      <c r="U10" s="673" t="s">
        <v>271</v>
      </c>
      <c r="V10" s="673"/>
      <c r="W10" s="673" t="s">
        <v>272</v>
      </c>
      <c r="X10" s="673"/>
      <c r="Y10" s="673"/>
      <c r="Z10" s="673"/>
      <c r="AA10" s="673"/>
      <c r="AB10" s="673"/>
    </row>
    <row r="11" spans="1:29" ht="18.600000000000001" customHeight="1" x14ac:dyDescent="0.3">
      <c r="A11" s="29" t="str">
        <f>A25 &amp; " " &amp; B25</f>
        <v>UK VAT</v>
      </c>
      <c r="C11" s="95">
        <f t="shared" ref="C11:D11" si="7">IF( AND((($F4+$F5)*$B$39)&gt;$C$25, $F7&gt;0), C7*$D$25, 0 )</f>
        <v>0</v>
      </c>
      <c r="D11" s="95">
        <f t="shared" si="7"/>
        <v>0</v>
      </c>
      <c r="E11" s="95">
        <f>IF( AND((($F4+$F5)*$B$39)&gt;$C$25, $F7&gt;0), E7*$D$25, 0 )</f>
        <v>0</v>
      </c>
      <c r="F11" s="334">
        <f>IF( AND(((F4+F5)*$B$39)&gt;$C$25, F7&gt;0), F7*$D$25, 0 )</f>
        <v>0</v>
      </c>
      <c r="H11" s="95">
        <f>IF( AND((($F4+$K4)*$B$39)&gt;$C$25, H7&gt;0), H7*$D$25, 0 )</f>
        <v>0</v>
      </c>
      <c r="I11" s="95">
        <f>IF( AND((($F4+$K4)*$B$39)&gt;$C$25, I7&gt;0), I7*$D$25, 0 )</f>
        <v>0</v>
      </c>
      <c r="J11" s="95">
        <f>IF( AND((($F4+$K4)*$B$39)&gt;$C$25, $K7&gt;0), J7*$D$25, 0 )</f>
        <v>0</v>
      </c>
      <c r="K11" s="334">
        <f>IF( AND((($F4+$K4)*$B$39)&gt;$C$25, K7&gt;0), K7*$D$25, 0 )</f>
        <v>0</v>
      </c>
      <c r="M11" s="95">
        <f>IF( AND((($F4+$K4+$P4)*$B$39)&gt;$C$25, $P7&gt;0), M7*$D$25, 0 )</f>
        <v>0</v>
      </c>
      <c r="N11" s="95">
        <f>IF( AND((($F4+$K4+$P4)*$B$39)&gt;$C$25, $P7&gt;0), N7*$D$25, 0 )</f>
        <v>0</v>
      </c>
      <c r="O11" s="95">
        <f>IF( AND((($F4+$K4+$P4)*$B$39)&gt;$C$25, $P7&gt;0), O7*$D$25, 0 )</f>
        <v>0</v>
      </c>
      <c r="P11" s="334">
        <f>IF( AND((($F4+$K4+$P4)*$B$39)&gt;$C$25, $P7&gt;0), P7*$D$25, 0 )</f>
        <v>0</v>
      </c>
      <c r="R11" s="95">
        <f>IF( AND((($F4+$H4+$K4+$P4+$U4)*$B$39)&gt;$C$25, $U7&gt;0), R7*$D$25, 0 )</f>
        <v>0</v>
      </c>
      <c r="S11" s="95">
        <f>IF( AND((($F4+$H4+$K4+$P4+$U4)*$B$39)&gt;$C$25, $U7&gt;0), S7*$D$25, 0 )</f>
        <v>0</v>
      </c>
      <c r="T11" s="95">
        <f>IF( AND((($F4+$H4+$K4+$P4+$U4)*$B$39)&gt;$C$25, $U7&gt;0), T7*$D$25, 0 )</f>
        <v>0</v>
      </c>
      <c r="U11" s="334">
        <f>IF( AND((($F4+$H4+$K4+$P4+$U4)*$B$39)&gt;$C$25, $U7&gt;0), U7*$D$25, 0 )</f>
        <v>0</v>
      </c>
      <c r="V11" s="77"/>
      <c r="W11" s="334">
        <f t="shared" ref="W11:W17" si="8">F11+K11+P11+U11</f>
        <v>0</v>
      </c>
      <c r="AB11" s="77"/>
    </row>
    <row r="12" spans="1:29" ht="18.600000000000001" customHeight="1" x14ac:dyDescent="0.3">
      <c r="A12" s="29" t="str">
        <f t="shared" ref="A12:A14" si="9">A26 &amp; " " &amp; B26</f>
        <v>EEA (OSS)*** VAT</v>
      </c>
      <c r="C12" s="95">
        <f t="shared" ref="C12:D12" si="10">(C4+C5)*$B$40*$D$26</f>
        <v>0</v>
      </c>
      <c r="D12" s="95">
        <f t="shared" si="10"/>
        <v>0</v>
      </c>
      <c r="E12" s="95">
        <f>(E4+E5)*$B$40*$D$26</f>
        <v>0</v>
      </c>
      <c r="F12" s="334">
        <f>(F4+F5)*$B$40*$D$26</f>
        <v>0</v>
      </c>
      <c r="H12" s="95">
        <f t="shared" ref="H12:J12" si="11">(H4+H5)*$B$40*$D$26</f>
        <v>0</v>
      </c>
      <c r="I12" s="95">
        <f t="shared" si="11"/>
        <v>0</v>
      </c>
      <c r="J12" s="95">
        <f t="shared" si="11"/>
        <v>0</v>
      </c>
      <c r="K12" s="334">
        <f>(K4+K5)*$B$40*$D$26</f>
        <v>0</v>
      </c>
      <c r="M12" s="95">
        <f t="shared" ref="M12:O12" si="12">(M4+M5)*$B$40*$D$26</f>
        <v>0</v>
      </c>
      <c r="N12" s="95">
        <f t="shared" si="12"/>
        <v>0</v>
      </c>
      <c r="O12" s="95">
        <f t="shared" si="12"/>
        <v>0</v>
      </c>
      <c r="P12" s="334">
        <f>(P4+P5)*$B$40*$D$26</f>
        <v>0</v>
      </c>
      <c r="R12" s="95">
        <f t="shared" ref="R12:T12" si="13">(R4+R5)*$B$40*$D$26</f>
        <v>0</v>
      </c>
      <c r="S12" s="95">
        <f t="shared" si="13"/>
        <v>0</v>
      </c>
      <c r="T12" s="95">
        <f t="shared" si="13"/>
        <v>0</v>
      </c>
      <c r="U12" s="334">
        <f>(U4+U5)*$B$40*$D$26</f>
        <v>0</v>
      </c>
      <c r="V12" s="77"/>
      <c r="W12" s="334">
        <f t="shared" si="8"/>
        <v>0</v>
      </c>
      <c r="AB12" s="77"/>
    </row>
    <row r="13" spans="1:29" ht="18.600000000000001" customHeight="1" x14ac:dyDescent="0.3">
      <c r="A13" s="29" t="str">
        <f t="shared" si="9"/>
        <v>USA Sales tax</v>
      </c>
      <c r="C13" s="95">
        <f t="shared" ref="C13:E13" si="14">IF((($F4+$F5)*$B$41)&gt;$C$27,(C4+C5)*$D$27,0)</f>
        <v>0</v>
      </c>
      <c r="D13" s="95">
        <f t="shared" si="14"/>
        <v>0</v>
      </c>
      <c r="E13" s="95">
        <f t="shared" si="14"/>
        <v>0</v>
      </c>
      <c r="F13" s="334">
        <f>IF((($F4+$F5)*$B$41)&gt;$C$27,(F4+F5)*$D$27,0)</f>
        <v>0</v>
      </c>
      <c r="H13" s="95">
        <f>IF((($F4+$F5+$K4+$K5)*$B$41)&gt;$C$27,(H4+H5)*$D$27,0)</f>
        <v>0</v>
      </c>
      <c r="I13" s="95">
        <f>IF((($F4+$F5+$K4+$K5)*$B$41)&gt;$C$27,(I4+I5)*$D$27,0)</f>
        <v>0</v>
      </c>
      <c r="J13" s="95">
        <f>IF((($F4+$F5+$K4+$K5)*$B$41)&gt;$C$27,(J4+J5)*$D$27,0)</f>
        <v>0</v>
      </c>
      <c r="K13" s="334">
        <f>IF((($F4+$F5+$K4+$K5)*$B$41)&gt;$C$27,(K4+K5)*$D$27,0)</f>
        <v>0</v>
      </c>
      <c r="M13" s="95">
        <f>IF((($F4+$F5+$K4+$K5+$P4+$P5)*$B$41)&gt;$C$27,(M4+M5)*$D$27,0)</f>
        <v>0</v>
      </c>
      <c r="N13" s="95">
        <f>IF((($F4+$F5+$K4+$K5+$P4+$P5)*$B$41)&gt;$C$27,(N4+N5)*$D$27,0)</f>
        <v>0</v>
      </c>
      <c r="O13" s="95">
        <f>IF((($F4+$F5+$K4+$K5+$P4+$P5)*$B$41)&gt;$C$27,(O4+O5)*$D$27,0)</f>
        <v>0</v>
      </c>
      <c r="P13" s="334">
        <f>IF((($F4+$F5+$K4+$K5+$P4+$P5)*$B$41)&gt;$C$27,(P4+P5)*$D$27,0)</f>
        <v>0</v>
      </c>
      <c r="R13" s="95">
        <f>IF((($F4+$F5+$K4+$K5+$P4+$P5+R4+R5)*$B$41)&gt;$C$27,(R4+R5)*$D$27,0)</f>
        <v>0</v>
      </c>
      <c r="S13" s="95">
        <f>IF((($F4+$F5+$K4+$K5+$P4+$P5+S4+S5)*$B$41)&gt;$C$27,(S4+S5)*$D$27,0)</f>
        <v>0</v>
      </c>
      <c r="T13" s="95">
        <f>IF((($F4+$F5+$K4+$K5+$P4+$P5+T4+T5)*$B$41)&gt;$C$27,(T4+T5)*$D$27,0)</f>
        <v>0</v>
      </c>
      <c r="U13" s="334">
        <f>IF((($F4+$F5+$K4+$K5+$P4+$P5+U4+U5)*$B$41)&gt;$C$27,(U4+U5)*$D$27,0)</f>
        <v>0</v>
      </c>
      <c r="V13" s="77"/>
      <c r="W13" s="334">
        <f t="shared" si="8"/>
        <v>0</v>
      </c>
      <c r="AB13" s="77"/>
    </row>
    <row r="14" spans="1:29" ht="18.600000000000001" customHeight="1" x14ac:dyDescent="0.3">
      <c r="A14" s="29" t="str">
        <f t="shared" si="9"/>
        <v>Canada GST/HST/QST</v>
      </c>
      <c r="C14" s="95">
        <f t="shared" ref="C14:E14" si="15">IF((($F4+$F5)*$B$42)&gt;$C$28,(C4+C5)*$D$28,0)</f>
        <v>0</v>
      </c>
      <c r="D14" s="95">
        <f t="shared" si="15"/>
        <v>0</v>
      </c>
      <c r="E14" s="95">
        <f t="shared" si="15"/>
        <v>0</v>
      </c>
      <c r="F14" s="334">
        <f>IF((($F4+$F5)*$B$42)&gt;$C$28,(F4+F5)*$D$28,0)</f>
        <v>0</v>
      </c>
      <c r="H14" s="95">
        <f>IF((($F4+$F5+$K4+$K5)*$B$42)&gt;$C$28,(H4+H5)*$D$28,0)</f>
        <v>0</v>
      </c>
      <c r="I14" s="95">
        <f>IF((($F4+$F5+$K4+$K5)*$B$42)&gt;$C$28,(I4+I5)*$D$28,0)</f>
        <v>0</v>
      </c>
      <c r="J14" s="95">
        <f>IF((($F4+$F5+$K4+$K5)*$B$42)&gt;$C$28,(J4+J5)*$D$28,0)</f>
        <v>0</v>
      </c>
      <c r="K14" s="334">
        <f>IF((($F4+$F5+$K4+$K5)*$B$42)&gt;$C$28,(K4+K5)*$D$28,0)</f>
        <v>0</v>
      </c>
      <c r="M14" s="95">
        <f>IF((($F4+$F5+$K4+$K5+$P4+$P5)*$B$42)&gt;$C$28,(M4+M5)*$D$28,0)</f>
        <v>0</v>
      </c>
      <c r="N14" s="95">
        <f>IF((($F4+$F5+$K4+$K5+$P4+$P5)*$B$42)&gt;$C$28,(N4+N5)*$D$28,0)</f>
        <v>0</v>
      </c>
      <c r="O14" s="95">
        <f>IF((($F4+$F5+$K4+$K5+$P4+$P5)*$B$42)&gt;$C$28,(O4+O5)*$D$28,0)</f>
        <v>0</v>
      </c>
      <c r="P14" s="334">
        <f>IF((($F4+$F5+$K4+$K5+$P4+$P5)*$B$42)&gt;$C$28,(P4+P5)*$D$28,0)</f>
        <v>0</v>
      </c>
      <c r="R14" s="95">
        <f>IF((($F4+$F5+$K4+$K5+$P4+$P5+$U4+$U5)*$B$42)&gt;$C$28,(R4+R5)*$D$28,0)</f>
        <v>0</v>
      </c>
      <c r="S14" s="95">
        <f>IF((($F4+$F5+$K4+$K5+$P4+$P5+$U4+$U5)*$B$42)&gt;$C$28,(S4+S5)*$D$28,0)</f>
        <v>0</v>
      </c>
      <c r="T14" s="95">
        <f>IF((($F4+$F5+$K4+$K5+$P4+$P5+$U4+$U5)*$B$42)&gt;$C$28,(T4+T5)*$D$28,0)</f>
        <v>0</v>
      </c>
      <c r="U14" s="334">
        <f>IF((($F4+$F5+$K4+$K5+$P4+$P5+$U4+$U5)*$B$42)&gt;$C$28,(U4+U5)*$D$28,0)</f>
        <v>0</v>
      </c>
      <c r="V14" s="77"/>
      <c r="W14" s="334">
        <f t="shared" si="8"/>
        <v>0</v>
      </c>
      <c r="AB14" s="77"/>
    </row>
    <row r="15" spans="1:29" ht="18.600000000000001" customHeight="1" x14ac:dyDescent="0.3">
      <c r="A15" s="29" t="s">
        <v>327</v>
      </c>
      <c r="C15" s="95">
        <f>C7*$B$43*$D$29</f>
        <v>0</v>
      </c>
      <c r="D15" s="95">
        <f t="shared" ref="D15:E15" si="16">D7*$B$43*$D$29</f>
        <v>0</v>
      </c>
      <c r="E15" s="95">
        <f t="shared" si="16"/>
        <v>0</v>
      </c>
      <c r="F15" s="334">
        <f>SUM(C15:E15)</f>
        <v>0</v>
      </c>
      <c r="H15" s="95">
        <f>H7*$B$43*$D$29</f>
        <v>0</v>
      </c>
      <c r="I15" s="95">
        <f t="shared" ref="I15:J15" si="17">I7*$B$43*$D$29</f>
        <v>0</v>
      </c>
      <c r="J15" s="95">
        <f t="shared" si="17"/>
        <v>0</v>
      </c>
      <c r="K15" s="334">
        <f>SUM(H15:J15)</f>
        <v>0</v>
      </c>
      <c r="M15" s="95">
        <f>M7*$B$43*$D$29</f>
        <v>0</v>
      </c>
      <c r="N15" s="95">
        <f t="shared" ref="N15:O15" si="18">N7*$B$43*$D$29</f>
        <v>0</v>
      </c>
      <c r="O15" s="95">
        <f t="shared" si="18"/>
        <v>0</v>
      </c>
      <c r="P15" s="334">
        <f>SUM(M15:O15)</f>
        <v>0</v>
      </c>
      <c r="R15" s="95">
        <f>R7*$B$43*$D$29</f>
        <v>0</v>
      </c>
      <c r="S15" s="95">
        <f t="shared" ref="S15:T15" si="19">S7*$B$43*$D$29</f>
        <v>0</v>
      </c>
      <c r="T15" s="95">
        <f t="shared" si="19"/>
        <v>0</v>
      </c>
      <c r="U15" s="334">
        <f>SUM(R15:T15)</f>
        <v>0</v>
      </c>
      <c r="V15" s="77"/>
      <c r="W15" s="334">
        <f t="shared" si="8"/>
        <v>0</v>
      </c>
      <c r="AB15" s="77"/>
    </row>
    <row r="16" spans="1:29" ht="18.600000000000001" customHeight="1" x14ac:dyDescent="0.3">
      <c r="A16" s="29" t="str">
        <f>A30 &amp; " " &amp; B30</f>
        <v>Australia GST</v>
      </c>
      <c r="C16" s="95">
        <f t="shared" ref="C16:E16" si="20">IF( AND((($F4+$F5)*$B$44)&gt;$C$30, $F7&gt;0), C7*$D$30, 0 )</f>
        <v>0</v>
      </c>
      <c r="D16" s="95">
        <f t="shared" si="20"/>
        <v>0</v>
      </c>
      <c r="E16" s="95">
        <f t="shared" si="20"/>
        <v>0</v>
      </c>
      <c r="F16" s="334">
        <f>IF( AND((($F4+$F5)*$B$44)&gt;$C$30, $F7&gt;0), F7*$D$30, 0 )</f>
        <v>0</v>
      </c>
      <c r="H16" s="95">
        <f>IF( AND((($F4+$F5+$K4+$K5)*$B$44)&gt;$C$30, $K7&gt;0), H7*$D$30, 0 )</f>
        <v>0</v>
      </c>
      <c r="I16" s="95">
        <f>IF( AND((($F4+$F5+$K4+$K5)*$B$44)&gt;$C$30, $K7&gt;0), I7*$D$30, 0 )</f>
        <v>0</v>
      </c>
      <c r="J16" s="95">
        <f>IF( AND((($F4+$F5+$K4+$K5)*$B$44)&gt;$C$30, $K7&gt;0), J7*$D$30, 0 )</f>
        <v>0</v>
      </c>
      <c r="K16" s="334">
        <f>IF( AND((($F4+$F5+$K4+$K5)*$B$44)&gt;$C$30, $K7&gt;0), K7*$D$30, 0 )</f>
        <v>0</v>
      </c>
      <c r="M16" s="95">
        <f>IF( AND((($F4+$F5+$K4+$K5+$P4+$P5)*$B$44)&gt;$C$30, $P7&gt;0), M7*$D$30, 0 )</f>
        <v>0</v>
      </c>
      <c r="N16" s="95">
        <f>IF( AND((($F4+$F5+$K4+$K5+$P4+$P5)*$B$44)&gt;$C$30, $P7&gt;0), N7*$D$30, 0 )</f>
        <v>0</v>
      </c>
      <c r="O16" s="95">
        <f>IF( AND((($F4+$F5+$K4+$K5+$P4+$P5)*$B$44)&gt;$C$30, $P7&gt;0), O7*$D$30, 0 )</f>
        <v>0</v>
      </c>
      <c r="P16" s="334">
        <f>IF( AND((($F4+$F5+$K4+$K5+$P4+$P5)*$B$44)&gt;$C$30, $P7&gt;0), P7*$D$30, 0 )</f>
        <v>0</v>
      </c>
      <c r="R16" s="95">
        <f>IF( AND((($F4+$F5+$K4+$K5+$P4+$P5+$U4+$U5)*$B$44)&gt;$C$30, $U7&gt;0), R7*$D$30, 0 )</f>
        <v>0</v>
      </c>
      <c r="S16" s="95">
        <f>IF( AND((($F4+$F5+$K4+$K5+$P4+$P5+$U4+$U5)*$B$44)&gt;$C$30, $U7&gt;0), S7*$D$30, 0 )</f>
        <v>0</v>
      </c>
      <c r="T16" s="95">
        <f>IF( AND((($F4+$F5+$K4+$K5+$P4+$P5+$U4+$U5)*$B$44)&gt;$C$30, $U7&gt;0), T7*$D$30, 0 )</f>
        <v>0</v>
      </c>
      <c r="U16" s="334">
        <f>IF( AND((($F4+$F5+$K4+$K5+$P4+$P5+$U4+$U5)*$B$44)&gt;$C$30, $U7&gt;0), U7*$D$30, 0 )</f>
        <v>0</v>
      </c>
      <c r="V16" s="77"/>
      <c r="W16" s="334">
        <f t="shared" si="8"/>
        <v>0</v>
      </c>
      <c r="AB16" s="77"/>
    </row>
    <row r="17" spans="1:28" ht="18.600000000000001" customHeight="1" x14ac:dyDescent="0.3">
      <c r="A17" s="29" t="str">
        <f>A31 &amp; " " &amp; B31</f>
        <v>New Zealand GST</v>
      </c>
      <c r="C17" s="205">
        <f t="shared" ref="C17:E17" si="21">IF( AND((($F4+$F5)*$B$45)&gt;$C$31, $F7&gt;0), C7*$D$31, 0 )</f>
        <v>0</v>
      </c>
      <c r="D17" s="205">
        <f t="shared" si="21"/>
        <v>0</v>
      </c>
      <c r="E17" s="205">
        <f t="shared" si="21"/>
        <v>0</v>
      </c>
      <c r="F17" s="653">
        <f>IF( AND((($F4+$F5)*$B$45)&gt;$C$31, $F7&gt;0), F7*$D$31, 0 )</f>
        <v>0</v>
      </c>
      <c r="H17" s="205">
        <f>IF( AND((($F4+$F5+$K4+$K5)*$B$45)&gt;$C$31, $K7&gt;0), H7*$D$31, 0 )</f>
        <v>0</v>
      </c>
      <c r="I17" s="205">
        <f>IF( AND((($F4+$F5+$K4+$K5)*$B$45)&gt;$C$31, $K7&gt;0), I7*$D$31, 0 )</f>
        <v>0</v>
      </c>
      <c r="J17" s="205">
        <f>IF( AND((($F4+$F5+$K4+$K5)*$B$45)&gt;$C$31, $K7&gt;0), J7*$D$31, 0 )</f>
        <v>0</v>
      </c>
      <c r="K17" s="653">
        <f>IF( AND((($F4+$F5+$K4+$K5)*$B$45)&gt;$C$31, $K7&gt;0), K7*$D$31, 0 )</f>
        <v>0</v>
      </c>
      <c r="M17" s="205">
        <f>IF( AND((($F4+$F5+$K4+$K5+$P4+$P5)*$B$45)&gt;$C$31, $P7&gt;0), M7*$D$31, 0 )</f>
        <v>0</v>
      </c>
      <c r="N17" s="205">
        <f>IF( AND((($F4+$F5+$K4+$K5+$P4+$P5)*$B$45)&gt;$C$31, $P7&gt;0), N7*$D$31, 0 )</f>
        <v>0</v>
      </c>
      <c r="O17" s="205">
        <f>IF( AND((($F4+$F5+$K4+$K5+$P4+$P5)*$B$45)&gt;$C$31, $P7&gt;0), O7*$D$31, 0 )</f>
        <v>0</v>
      </c>
      <c r="P17" s="653">
        <f>IF( AND((($F4+$F5+$K4+$K5+$P4+$P5)*$B$45)&gt;$C$31, $P7&gt;0), P7*$D$31, 0 )</f>
        <v>0</v>
      </c>
      <c r="R17" s="205">
        <f>IF( AND((($F4+$F5+$K4+$K5+$P4+$P5+$U4+$U5)*$B$45)&gt;$C$31, $U7&gt;0), R7*$D$31, 0 )</f>
        <v>0</v>
      </c>
      <c r="S17" s="205">
        <f>IF( AND((($F4+$F5+$K4+$K5+$P4+$P5+$U4+$U5)*$B$45)&gt;$C$31, $U7&gt;0), S7*$D$31, 0 )</f>
        <v>0</v>
      </c>
      <c r="T17" s="205">
        <f>IF( AND((($F4+$F5+$K4+$K5+$P4+$P5+$U4+$U5)*$B$45)&gt;$C$31, $U7&gt;0), T7*$D$31, 0 )</f>
        <v>0</v>
      </c>
      <c r="U17" s="653">
        <f>IF( AND((($F4+$F5+$K4+$K5+$P4+$P5+$U4+$U5)*$B$45)&gt;$C$31, $U7&gt;0), U7*$D$31, 0 )</f>
        <v>0</v>
      </c>
      <c r="V17" s="77"/>
      <c r="W17" s="653">
        <f t="shared" si="8"/>
        <v>0</v>
      </c>
      <c r="AB17" s="77"/>
    </row>
    <row r="18" spans="1:28" s="96" customFormat="1" ht="27" customHeight="1" x14ac:dyDescent="0.3">
      <c r="A18" s="655" t="s">
        <v>26</v>
      </c>
      <c r="C18" s="866">
        <f>SUMIF(C11:C17,"&gt;0")</f>
        <v>0</v>
      </c>
      <c r="D18" s="866">
        <f>SUMIF(D11:D17,"&gt;0")</f>
        <v>0</v>
      </c>
      <c r="E18" s="866">
        <f>SUMIF(E11:E17,"&gt;0")</f>
        <v>0</v>
      </c>
      <c r="F18" s="674">
        <f>SUMIF(F11:F17,"&gt;0")</f>
        <v>0</v>
      </c>
      <c r="G18" s="199"/>
      <c r="H18" s="866">
        <f t="shared" ref="H18:J18" si="22">SUMIF(H11:H17,"&gt;0")</f>
        <v>0</v>
      </c>
      <c r="I18" s="866">
        <f t="shared" si="22"/>
        <v>0</v>
      </c>
      <c r="J18" s="866">
        <f t="shared" si="22"/>
        <v>0</v>
      </c>
      <c r="K18" s="674">
        <f>SUMIF(K11:K17,"&gt;0")</f>
        <v>0</v>
      </c>
      <c r="L18" s="199"/>
      <c r="M18" s="866">
        <f t="shared" ref="M18:O18" si="23">SUMIF(M11:M17,"&gt;0")</f>
        <v>0</v>
      </c>
      <c r="N18" s="866">
        <f t="shared" si="23"/>
        <v>0</v>
      </c>
      <c r="O18" s="866">
        <f t="shared" si="23"/>
        <v>0</v>
      </c>
      <c r="P18" s="674">
        <f>SUMIF(P11:P17,"&gt;0")</f>
        <v>0</v>
      </c>
      <c r="Q18" s="199"/>
      <c r="R18" s="866">
        <f t="shared" ref="R18:T18" si="24">SUMIF(R11:R17,"&gt;0")</f>
        <v>0</v>
      </c>
      <c r="S18" s="866">
        <f t="shared" si="24"/>
        <v>0</v>
      </c>
      <c r="T18" s="866">
        <f t="shared" si="24"/>
        <v>0</v>
      </c>
      <c r="U18" s="674">
        <f>SUMIF(U11:U17,"&gt;0")</f>
        <v>0</v>
      </c>
      <c r="V18" s="199"/>
      <c r="W18" s="674">
        <f>SUM(W11:W17)</f>
        <v>0</v>
      </c>
      <c r="AB18" s="199"/>
    </row>
    <row r="19" spans="1:28" ht="15" customHeight="1" x14ac:dyDescent="0.3">
      <c r="K19" s="95"/>
      <c r="V19" s="77"/>
      <c r="AB19" s="77"/>
    </row>
    <row r="20" spans="1:28" ht="15" customHeight="1" x14ac:dyDescent="0.3">
      <c r="K20" s="95"/>
      <c r="V20" s="77"/>
      <c r="AB20" s="77"/>
    </row>
    <row r="21" spans="1:28" ht="21" customHeight="1" x14ac:dyDescent="0.3">
      <c r="A21" s="280" t="s">
        <v>267</v>
      </c>
      <c r="F21" s="95">
        <v>0</v>
      </c>
      <c r="G21" s="95"/>
      <c r="H21" s="95"/>
      <c r="I21" s="95"/>
      <c r="J21" s="95"/>
      <c r="K21" s="95">
        <v>0</v>
      </c>
      <c r="L21" s="95"/>
      <c r="M21" s="95"/>
      <c r="N21" s="95"/>
      <c r="O21" s="95"/>
      <c r="P21" s="95">
        <v>0</v>
      </c>
      <c r="Q21" s="95"/>
      <c r="R21" s="95"/>
      <c r="S21" s="95"/>
      <c r="T21" s="95"/>
      <c r="U21" s="95">
        <v>0</v>
      </c>
      <c r="V21" s="95"/>
      <c r="W21" s="95">
        <f>F21+K21+P21+U21</f>
        <v>0</v>
      </c>
      <c r="AB21" s="77"/>
    </row>
    <row r="22" spans="1:28" ht="11.4" customHeight="1" x14ac:dyDescent="0.3">
      <c r="K22" s="95"/>
      <c r="V22" s="77"/>
      <c r="AB22" s="77"/>
    </row>
    <row r="23" spans="1:28" ht="11.4" customHeight="1" x14ac:dyDescent="0.3">
      <c r="K23" s="95"/>
      <c r="V23" s="77"/>
      <c r="AB23" s="77"/>
    </row>
    <row r="24" spans="1:28" ht="25.8" customHeight="1" x14ac:dyDescent="0.3">
      <c r="A24" s="863" t="s">
        <v>261</v>
      </c>
      <c r="B24" s="863" t="s">
        <v>241</v>
      </c>
      <c r="C24" s="863" t="s">
        <v>257</v>
      </c>
      <c r="D24" s="863" t="s">
        <v>245</v>
      </c>
      <c r="E24" s="863" t="s">
        <v>263</v>
      </c>
      <c r="F24" s="863" t="s">
        <v>253</v>
      </c>
      <c r="G24" s="964" t="s">
        <v>354</v>
      </c>
      <c r="H24" s="964"/>
      <c r="I24" s="644"/>
      <c r="J24" s="644"/>
      <c r="K24" s="65"/>
      <c r="L24" s="65"/>
    </row>
    <row r="25" spans="1:28" ht="27" customHeight="1" x14ac:dyDescent="0.3">
      <c r="A25" s="762" t="s">
        <v>129</v>
      </c>
      <c r="B25" s="762" t="s">
        <v>242</v>
      </c>
      <c r="C25" s="82">
        <v>90000</v>
      </c>
      <c r="D25" s="864">
        <v>0.2</v>
      </c>
      <c r="E25" s="865" t="s">
        <v>328</v>
      </c>
      <c r="F25" s="762" t="s">
        <v>254</v>
      </c>
      <c r="G25" s="965" t="s">
        <v>254</v>
      </c>
      <c r="H25" s="965"/>
      <c r="I25" s="644"/>
      <c r="J25" s="644"/>
      <c r="K25" s="65"/>
      <c r="L25" s="65"/>
    </row>
    <row r="26" spans="1:28" ht="27" customHeight="1" x14ac:dyDescent="0.3">
      <c r="A26" s="762" t="s">
        <v>358</v>
      </c>
      <c r="B26" s="762" t="s">
        <v>242</v>
      </c>
      <c r="C26" s="82">
        <v>0</v>
      </c>
      <c r="D26" s="864">
        <v>0.22</v>
      </c>
      <c r="E26" s="865" t="s">
        <v>357</v>
      </c>
      <c r="F26" s="762" t="s">
        <v>255</v>
      </c>
      <c r="G26" s="965" t="s">
        <v>355</v>
      </c>
      <c r="H26" s="965"/>
      <c r="I26" s="644"/>
      <c r="J26" s="644"/>
      <c r="K26" s="65"/>
      <c r="L26" s="65"/>
    </row>
    <row r="27" spans="1:28" ht="27" customHeight="1" x14ac:dyDescent="0.3">
      <c r="A27" s="762" t="s">
        <v>248</v>
      </c>
      <c r="B27" s="762" t="s">
        <v>246</v>
      </c>
      <c r="C27" s="82">
        <v>79000</v>
      </c>
      <c r="D27" s="864">
        <v>0.08</v>
      </c>
      <c r="E27" s="865" t="s">
        <v>357</v>
      </c>
      <c r="F27" s="762" t="s">
        <v>255</v>
      </c>
      <c r="G27" s="965" t="s">
        <v>355</v>
      </c>
      <c r="H27" s="965"/>
      <c r="I27" s="644"/>
      <c r="J27" s="644"/>
      <c r="K27" s="65"/>
      <c r="L27" s="65"/>
    </row>
    <row r="28" spans="1:28" ht="27" customHeight="1" x14ac:dyDescent="0.3">
      <c r="A28" s="762" t="s">
        <v>249</v>
      </c>
      <c r="B28" s="762" t="s">
        <v>256</v>
      </c>
      <c r="C28" s="82">
        <v>18000</v>
      </c>
      <c r="D28" s="864">
        <v>0.13</v>
      </c>
      <c r="E28" s="865" t="s">
        <v>328</v>
      </c>
      <c r="F28" s="762" t="s">
        <v>254</v>
      </c>
      <c r="G28" s="965" t="s">
        <v>254</v>
      </c>
      <c r="H28" s="965"/>
      <c r="I28" s="644"/>
      <c r="J28" s="644"/>
      <c r="K28" s="65"/>
      <c r="L28" s="65"/>
    </row>
    <row r="29" spans="1:28" ht="27" customHeight="1" x14ac:dyDescent="0.3">
      <c r="A29" s="762" t="s">
        <v>327</v>
      </c>
      <c r="B29" s="762" t="s">
        <v>247</v>
      </c>
      <c r="C29" s="82">
        <v>0</v>
      </c>
      <c r="D29" s="864">
        <v>0.18</v>
      </c>
      <c r="E29" s="865" t="s">
        <v>357</v>
      </c>
      <c r="F29" s="762" t="s">
        <v>255</v>
      </c>
      <c r="G29" s="965" t="s">
        <v>255</v>
      </c>
      <c r="H29" s="965"/>
      <c r="I29" s="644"/>
      <c r="J29" s="644"/>
      <c r="K29" s="65"/>
      <c r="L29" s="65"/>
    </row>
    <row r="30" spans="1:28" ht="27" customHeight="1" x14ac:dyDescent="0.3">
      <c r="A30" s="762" t="s">
        <v>250</v>
      </c>
      <c r="B30" s="762" t="s">
        <v>247</v>
      </c>
      <c r="C30" s="82">
        <v>39000</v>
      </c>
      <c r="D30" s="864">
        <v>0.1</v>
      </c>
      <c r="E30" s="865" t="s">
        <v>328</v>
      </c>
      <c r="F30" s="762" t="s">
        <v>254</v>
      </c>
      <c r="G30" s="965" t="s">
        <v>254</v>
      </c>
      <c r="H30" s="965"/>
      <c r="I30" s="644"/>
      <c r="J30" s="644"/>
      <c r="K30" s="65"/>
      <c r="L30" s="65"/>
    </row>
    <row r="31" spans="1:28" ht="27" customHeight="1" x14ac:dyDescent="0.3">
      <c r="A31" s="762" t="s">
        <v>251</v>
      </c>
      <c r="B31" s="762" t="s">
        <v>247</v>
      </c>
      <c r="C31" s="82">
        <v>29000</v>
      </c>
      <c r="D31" s="864">
        <v>0.15</v>
      </c>
      <c r="E31" s="865" t="s">
        <v>328</v>
      </c>
      <c r="F31" s="762" t="s">
        <v>254</v>
      </c>
      <c r="G31" s="965" t="s">
        <v>254</v>
      </c>
      <c r="H31" s="965"/>
      <c r="I31" s="644"/>
      <c r="J31" s="644"/>
      <c r="K31" s="65"/>
      <c r="L31" s="65"/>
    </row>
    <row r="32" spans="1:28" ht="18.600000000000001" customHeight="1" x14ac:dyDescent="0.3">
      <c r="E32" s="212"/>
      <c r="F32" s="644"/>
      <c r="G32" s="644"/>
      <c r="H32" s="644"/>
      <c r="I32" s="644"/>
      <c r="J32" s="644"/>
      <c r="K32" s="65"/>
      <c r="L32" s="65"/>
    </row>
    <row r="33" spans="1:25" s="649" customFormat="1" ht="19.8" customHeight="1" x14ac:dyDescent="0.3">
      <c r="A33" s="648" t="s">
        <v>243</v>
      </c>
      <c r="E33" s="650"/>
      <c r="F33" s="651"/>
      <c r="G33" s="651"/>
      <c r="H33" s="651"/>
      <c r="I33" s="651"/>
      <c r="J33" s="651"/>
      <c r="K33" s="652"/>
      <c r="L33" s="652"/>
    </row>
    <row r="34" spans="1:25" s="649" customFormat="1" ht="19.8" customHeight="1" x14ac:dyDescent="0.3">
      <c r="A34" s="648" t="s">
        <v>252</v>
      </c>
      <c r="E34" s="650"/>
      <c r="F34" s="651"/>
      <c r="G34" s="651"/>
      <c r="H34" s="651"/>
      <c r="I34" s="651"/>
      <c r="J34" s="651"/>
      <c r="K34" s="652"/>
      <c r="L34" s="652"/>
    </row>
    <row r="35" spans="1:25" s="649" customFormat="1" ht="19.8" customHeight="1" x14ac:dyDescent="0.3">
      <c r="A35" s="648" t="s">
        <v>244</v>
      </c>
      <c r="E35" s="650"/>
      <c r="F35" s="651"/>
      <c r="G35" s="651"/>
      <c r="H35" s="651"/>
      <c r="I35" s="651"/>
      <c r="J35" s="651"/>
      <c r="K35" s="652"/>
      <c r="L35" s="652"/>
    </row>
    <row r="36" spans="1:25" s="595" customFormat="1" ht="19.8" customHeight="1" x14ac:dyDescent="0.3"/>
    <row r="37" spans="1:25" ht="16.8" customHeight="1" x14ac:dyDescent="0.3">
      <c r="B37" s="212"/>
      <c r="D37" s="95"/>
      <c r="E37" s="95"/>
      <c r="F37" s="95"/>
      <c r="G37" s="95"/>
      <c r="H37" s="95"/>
      <c r="I37" s="95"/>
      <c r="J37" s="95"/>
      <c r="K37" s="95"/>
      <c r="L37" s="95"/>
      <c r="M37" s="95"/>
      <c r="N37" s="95"/>
      <c r="O37" s="95"/>
      <c r="P37" s="95"/>
      <c r="Q37" s="95"/>
      <c r="R37" s="95"/>
      <c r="S37" s="95"/>
      <c r="T37" s="95"/>
      <c r="U37" s="95"/>
      <c r="V37" s="95"/>
      <c r="W37" s="95"/>
      <c r="X37" s="95"/>
      <c r="Y37" s="95"/>
    </row>
    <row r="38" spans="1:25" ht="25.8" customHeight="1" x14ac:dyDescent="0.3">
      <c r="A38" s="577" t="s">
        <v>131</v>
      </c>
      <c r="B38" s="654" t="s">
        <v>260</v>
      </c>
    </row>
    <row r="39" spans="1:25" ht="19.2" customHeight="1" x14ac:dyDescent="0.3">
      <c r="A39" s="16" t="s">
        <v>129</v>
      </c>
      <c r="B39" s="30">
        <f>'Users 1st year'!E11</f>
        <v>1</v>
      </c>
    </row>
    <row r="40" spans="1:25" ht="19.2" customHeight="1" x14ac:dyDescent="0.3">
      <c r="A40" s="16" t="s">
        <v>130</v>
      </c>
      <c r="B40" s="30">
        <f>'Users 1st year'!E12</f>
        <v>0</v>
      </c>
    </row>
    <row r="41" spans="1:25" ht="19.2" customHeight="1" x14ac:dyDescent="0.3">
      <c r="A41" s="16" t="s">
        <v>248</v>
      </c>
      <c r="B41" s="30">
        <f>'Users 1st year'!E13</f>
        <v>0</v>
      </c>
    </row>
    <row r="42" spans="1:25" ht="19.2" customHeight="1" x14ac:dyDescent="0.3">
      <c r="A42" s="16" t="s">
        <v>249</v>
      </c>
      <c r="B42" s="30">
        <f>'Users 1st year'!E14</f>
        <v>0</v>
      </c>
    </row>
    <row r="43" spans="1:25" ht="19.2" customHeight="1" x14ac:dyDescent="0.3">
      <c r="A43" s="16" t="s">
        <v>327</v>
      </c>
      <c r="B43" s="30">
        <f>'Users 1st year'!E15</f>
        <v>0</v>
      </c>
    </row>
    <row r="44" spans="1:25" ht="19.2" customHeight="1" x14ac:dyDescent="0.3">
      <c r="A44" s="16" t="s">
        <v>250</v>
      </c>
      <c r="B44" s="30">
        <f>'Users 1st year'!E16</f>
        <v>0</v>
      </c>
    </row>
    <row r="45" spans="1:25" ht="19.2" customHeight="1" x14ac:dyDescent="0.3">
      <c r="A45" s="16" t="s">
        <v>251</v>
      </c>
      <c r="B45" s="645">
        <f>'Users 1st year'!E17</f>
        <v>0</v>
      </c>
    </row>
    <row r="46" spans="1:25" s="77" customFormat="1" ht="20.399999999999999" customHeight="1" x14ac:dyDescent="0.3">
      <c r="A46" s="77" t="s">
        <v>26</v>
      </c>
      <c r="B46" s="745">
        <f>SUM(B39:B45)</f>
        <v>1</v>
      </c>
    </row>
  </sheetData>
  <mergeCells count="8">
    <mergeCell ref="G24:H24"/>
    <mergeCell ref="G31:H31"/>
    <mergeCell ref="G30:H30"/>
    <mergeCell ref="G29:H29"/>
    <mergeCell ref="G28:H28"/>
    <mergeCell ref="G27:H27"/>
    <mergeCell ref="G26:H26"/>
    <mergeCell ref="G25:H25"/>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D3B28-A7A4-4DE5-9075-2D7C36917E32}">
  <dimension ref="A1:R44"/>
  <sheetViews>
    <sheetView workbookViewId="0">
      <pane ySplit="3" topLeftCell="A29" activePane="bottomLeft" state="frozen"/>
      <selection pane="bottomLeft" activeCell="E24" sqref="E24"/>
    </sheetView>
  </sheetViews>
  <sheetFormatPr defaultRowHeight="19.8" customHeight="1" x14ac:dyDescent="0.3"/>
  <cols>
    <col min="1" max="1" width="33" style="2" customWidth="1"/>
    <col min="2" max="6" width="9.77734375" style="2" customWidth="1"/>
    <col min="7" max="7" width="7.33203125" style="2" customWidth="1"/>
    <col min="8" max="8" width="7.109375" style="2" customWidth="1"/>
    <col min="9" max="16384" width="8.88671875" style="2"/>
  </cols>
  <sheetData>
    <row r="1" spans="1:18" ht="19.8" customHeight="1" x14ac:dyDescent="0.3">
      <c r="A1" s="51" t="s">
        <v>283</v>
      </c>
    </row>
    <row r="2" spans="1:18" ht="14.4" customHeight="1" x14ac:dyDescent="0.3"/>
    <row r="3" spans="1:18" s="96" customFormat="1" ht="28.8" customHeight="1" x14ac:dyDescent="0.3">
      <c r="A3" s="696" t="s">
        <v>323</v>
      </c>
      <c r="B3" s="697" t="s">
        <v>2</v>
      </c>
      <c r="C3" s="697" t="s">
        <v>3</v>
      </c>
      <c r="D3" s="698" t="s">
        <v>4</v>
      </c>
      <c r="E3" s="698" t="s">
        <v>146</v>
      </c>
      <c r="F3" s="698" t="s">
        <v>147</v>
      </c>
    </row>
    <row r="4" spans="1:18" ht="29.4" customHeight="1" x14ac:dyDescent="0.3">
      <c r="A4" s="693" t="s">
        <v>291</v>
      </c>
      <c r="B4" s="695">
        <f>'Sales 5yrs'!E14/'Users next years'!G48</f>
        <v>25.42676235782023</v>
      </c>
      <c r="C4" s="695">
        <f>'Sales 5yrs'!J14/'Users next years'!K48</f>
        <v>26.997335742441578</v>
      </c>
      <c r="D4" s="695">
        <f>'Sales 5yrs'!O14/'Users next years'!O48</f>
        <v>43.655675575336453</v>
      </c>
      <c r="E4" s="695">
        <f>'Sales 5yrs'!T14/'Users next years'!S48</f>
        <v>58.426155949360385</v>
      </c>
      <c r="F4" s="695">
        <f>'Sales 5yrs'!Y14/'Users next years'!W48</f>
        <v>72.95217838628048</v>
      </c>
    </row>
    <row r="5" spans="1:18" ht="19.8" customHeight="1" x14ac:dyDescent="0.3">
      <c r="A5" s="749" t="s">
        <v>289</v>
      </c>
      <c r="B5" s="692">
        <f>('Sales 5yrs'!J14*'Sales 5yrs'!F6)/'Users next years'!G45</f>
        <v>5.552913433943985</v>
      </c>
      <c r="C5" s="692">
        <f>('Sales 5yrs'!J14*'Sales 5yrs'!K6)/'Users next years'!K45</f>
        <v>0.78248443698864711</v>
      </c>
      <c r="D5" s="692">
        <f>('Sales 5yrs'!O14*'Sales 5yrs'!P6)/'Users next years'!O45</f>
        <v>0.88969634128300668</v>
      </c>
      <c r="E5" s="692">
        <f>('Sales 5yrs'!T14*'Sales 5yrs'!U6)/'Users next years'!S45</f>
        <v>0.87795284142637386</v>
      </c>
      <c r="F5" s="692">
        <f>('Sales 5yrs'!Y14*'Sales 5yrs'!Z6)/'Users next years'!W45</f>
        <v>0.81439965971420303</v>
      </c>
    </row>
    <row r="6" spans="1:18" ht="19.8" customHeight="1" x14ac:dyDescent="0.3">
      <c r="A6" s="749" t="s">
        <v>96</v>
      </c>
      <c r="B6" s="692">
        <f>('Sales 5yrs'!$E$14*'Sales 5yrs'!F4)/'Users next years'!G46</f>
        <v>333.79834730618961</v>
      </c>
      <c r="C6" s="692">
        <f>('Sales 5yrs'!$J$14*'Sales 5yrs'!K4)/'Users next years'!K46</f>
        <v>351.14484513231059</v>
      </c>
      <c r="D6" s="692">
        <f>('Sales 5yrs'!$O$14*'Sales 5yrs'!P4)/'Users next years'!O46</f>
        <v>369.01276904061666</v>
      </c>
      <c r="E6" s="692">
        <f>('Sales 5yrs'!$T$14*'Sales 5yrs'!U4)/'Users next years'!S46</f>
        <v>387.69267301578861</v>
      </c>
      <c r="F6" s="692">
        <f>('Sales 5yrs'!$Y$14*'Sales 5yrs'!Z4)/'Users next years'!W46</f>
        <v>407.25488657313338</v>
      </c>
    </row>
    <row r="7" spans="1:18" ht="19.8" customHeight="1" x14ac:dyDescent="0.3">
      <c r="A7" s="749" t="s">
        <v>97</v>
      </c>
      <c r="B7" s="692">
        <f>('Sales 5yrs'!$E$14*'Sales 5yrs'!F5)/'Users next years'!G47</f>
        <v>477.11069677575233</v>
      </c>
      <c r="C7" s="692">
        <f>('Sales 5yrs'!$J$14*'Sales 5yrs'!K5)/'Users next years'!K47</f>
        <v>501.90470708535997</v>
      </c>
      <c r="D7" s="692">
        <f>('Sales 5yrs'!$O$14*'Sales 5yrs'!P5)/'Users next years'!O47</f>
        <v>527.44401156252741</v>
      </c>
      <c r="E7" s="692">
        <f>('Sales 5yrs'!$T$14*'Sales 5yrs'!U5)/'Users next years'!S47</f>
        <v>554.1439100887568</v>
      </c>
      <c r="F7" s="692">
        <f>('Sales 5yrs'!$Y$14*'Sales 5yrs'!Z5)/'Users next years'!W47</f>
        <v>582.10492732009595</v>
      </c>
    </row>
    <row r="8" spans="1:18" ht="24" customHeight="1" x14ac:dyDescent="0.3">
      <c r="A8" s="693" t="s">
        <v>284</v>
      </c>
      <c r="B8" s="729" t="s">
        <v>148</v>
      </c>
      <c r="C8" s="729" t="s">
        <v>148</v>
      </c>
      <c r="D8" s="729" t="s">
        <v>148</v>
      </c>
      <c r="E8" s="729" t="s">
        <v>148</v>
      </c>
      <c r="F8" s="729" t="s">
        <v>148</v>
      </c>
    </row>
    <row r="9" spans="1:18" ht="19.8" customHeight="1" x14ac:dyDescent="0.3">
      <c r="A9" s="749" t="s">
        <v>95</v>
      </c>
      <c r="B9" s="688">
        <f>'Users next years'!F29</f>
        <v>9.0136389547740961E-2</v>
      </c>
      <c r="C9" s="688">
        <f>'Users next years'!J29</f>
        <v>0.47499999999999998</v>
      </c>
      <c r="D9" s="688">
        <f>'Users next years'!N29</f>
        <v>0.44500000000000001</v>
      </c>
      <c r="E9" s="688">
        <f>'Users next years'!R29</f>
        <v>0.41499999999999998</v>
      </c>
      <c r="F9" s="688">
        <f>'Users next years'!V29</f>
        <v>0.39</v>
      </c>
    </row>
    <row r="10" spans="1:18" ht="19.8" customHeight="1" x14ac:dyDescent="0.3">
      <c r="A10" s="749" t="s">
        <v>96</v>
      </c>
      <c r="B10" s="688">
        <f>'Users next years'!F30</f>
        <v>0.61047346256364443</v>
      </c>
      <c r="C10" s="688">
        <f>'Users next years'!J30</f>
        <v>0.6</v>
      </c>
      <c r="D10" s="688">
        <f>'Users next years'!N30</f>
        <v>0.55000000000000004</v>
      </c>
      <c r="E10" s="688">
        <f>'Users next years'!R30</f>
        <v>0.5</v>
      </c>
      <c r="F10" s="688">
        <f>'Users next years'!V30</f>
        <v>0.45</v>
      </c>
    </row>
    <row r="11" spans="1:18" ht="19.8" customHeight="1" x14ac:dyDescent="0.3">
      <c r="A11" s="749" t="s">
        <v>97</v>
      </c>
      <c r="B11" s="688">
        <f>'Users next years'!F31</f>
        <v>0.54924833682253404</v>
      </c>
      <c r="C11" s="688">
        <f>'Users next years'!J31</f>
        <v>0.36</v>
      </c>
      <c r="D11" s="688">
        <f>'Users next years'!N31</f>
        <v>0.32</v>
      </c>
      <c r="E11" s="688">
        <f>'Users next years'!R31</f>
        <v>0.28999999999999998</v>
      </c>
      <c r="F11" s="688">
        <f>'Users next years'!V31</f>
        <v>0.26</v>
      </c>
    </row>
    <row r="12" spans="1:18" s="694" customFormat="1" ht="24.6" customHeight="1" x14ac:dyDescent="0.3">
      <c r="A12" s="693" t="s">
        <v>282</v>
      </c>
      <c r="B12" s="729" t="s">
        <v>148</v>
      </c>
      <c r="C12" s="729" t="s">
        <v>148</v>
      </c>
      <c r="D12" s="729" t="s">
        <v>148</v>
      </c>
      <c r="E12" s="729" t="s">
        <v>148</v>
      </c>
      <c r="F12" s="729" t="s">
        <v>148</v>
      </c>
      <c r="G12" s="16"/>
      <c r="H12" s="16"/>
      <c r="I12" s="16"/>
      <c r="J12" s="16"/>
      <c r="K12" s="16"/>
      <c r="L12" s="16"/>
      <c r="M12" s="16"/>
      <c r="N12" s="16"/>
      <c r="O12" s="16"/>
      <c r="P12" s="16"/>
      <c r="Q12" s="16"/>
      <c r="R12" s="16"/>
    </row>
    <row r="13" spans="1:18" s="16" customFormat="1" ht="19.8" customHeight="1" x14ac:dyDescent="0.3">
      <c r="A13" s="749" t="s">
        <v>95</v>
      </c>
      <c r="B13" s="687">
        <f>'Users next years'!G35</f>
        <v>5.729590831356778</v>
      </c>
      <c r="C13" s="687">
        <f>'Users next years'!K35</f>
        <v>6.9496847180247956</v>
      </c>
      <c r="D13" s="687">
        <f>'Users next years'!O35</f>
        <v>6.9147262868939068</v>
      </c>
      <c r="E13" s="687">
        <f>'Users next years'!S35</f>
        <v>7.1267691550449559</v>
      </c>
      <c r="F13" s="687">
        <f>'Users next years'!W35</f>
        <v>7.4310201124665358</v>
      </c>
    </row>
    <row r="14" spans="1:18" s="16" customFormat="1" ht="19.8" customHeight="1" x14ac:dyDescent="0.3">
      <c r="A14" s="749" t="s">
        <v>96</v>
      </c>
      <c r="B14" s="687">
        <f>'Users next years'!G36</f>
        <v>4.1685796123090668</v>
      </c>
      <c r="C14" s="687">
        <f>'Users next years'!K36</f>
        <v>5.3801426279898443</v>
      </c>
      <c r="D14" s="687">
        <f>'Users next years'!O36</f>
        <v>5.8528318005689286</v>
      </c>
      <c r="E14" s="687">
        <f>'Users next years'!S36</f>
        <v>6.2843796285365636</v>
      </c>
      <c r="F14" s="687">
        <f>'Users next years'!W36</f>
        <v>6.7440007800647619</v>
      </c>
    </row>
    <row r="15" spans="1:18" s="16" customFormat="1" ht="19.8" customHeight="1" x14ac:dyDescent="0.3">
      <c r="A15" s="749" t="s">
        <v>97</v>
      </c>
      <c r="B15" s="687">
        <f>'Users next years'!G37</f>
        <v>4.3522549895323976</v>
      </c>
      <c r="C15" s="687">
        <f>'Users next years'!K37</f>
        <v>6.1147139198780796</v>
      </c>
      <c r="D15" s="687">
        <f>'Users next years'!O37</f>
        <v>6.7786251045001498</v>
      </c>
      <c r="E15" s="687">
        <f>'Users next years'!S37</f>
        <v>7.2770221683999718</v>
      </c>
      <c r="F15" s="687">
        <f>'Users next years'!W37</f>
        <v>7.7538386339009877</v>
      </c>
    </row>
    <row r="16" spans="1:18" ht="25.2" customHeight="1" x14ac:dyDescent="0.3">
      <c r="A16" s="693" t="s">
        <v>290</v>
      </c>
      <c r="B16" s="729" t="s">
        <v>148</v>
      </c>
      <c r="C16" s="729" t="s">
        <v>148</v>
      </c>
      <c r="D16" s="729" t="s">
        <v>148</v>
      </c>
      <c r="E16" s="729" t="s">
        <v>148</v>
      </c>
      <c r="F16" s="729" t="s">
        <v>148</v>
      </c>
    </row>
    <row r="17" spans="1:18" ht="19.8" customHeight="1" x14ac:dyDescent="0.3">
      <c r="A17" s="749" t="s">
        <v>95</v>
      </c>
      <c r="B17" s="687">
        <f>1/'Users next years'!F29</f>
        <v>11.094298374025149</v>
      </c>
      <c r="C17" s="687">
        <f>1/'Users next years'!J29</f>
        <v>2.1052631578947367</v>
      </c>
      <c r="D17" s="687">
        <f>1/'Users next years'!N29</f>
        <v>2.2471910112359552</v>
      </c>
      <c r="E17" s="687">
        <f>1/'Users next years'!R29</f>
        <v>2.4096385542168677</v>
      </c>
      <c r="F17" s="687">
        <f>1/'Users next years'!V29</f>
        <v>2.5641025641025639</v>
      </c>
    </row>
    <row r="18" spans="1:18" ht="19.8" customHeight="1" x14ac:dyDescent="0.3">
      <c r="A18" s="749" t="s">
        <v>96</v>
      </c>
      <c r="B18" s="687">
        <f>1/'Users next years'!F30</f>
        <v>1.6380728423485662</v>
      </c>
      <c r="C18" s="687">
        <f>1/'Users next years'!J30</f>
        <v>1.6666666666666667</v>
      </c>
      <c r="D18" s="687">
        <f>1/'Users next years'!N30</f>
        <v>1.8181818181818181</v>
      </c>
      <c r="E18" s="687">
        <f>1/'Users next years'!R30</f>
        <v>2</v>
      </c>
      <c r="F18" s="687">
        <f>1/'Users next years'!V30</f>
        <v>2.2222222222222223</v>
      </c>
    </row>
    <row r="19" spans="1:18" ht="19.8" customHeight="1" x14ac:dyDescent="0.3">
      <c r="A19" s="749" t="s">
        <v>97</v>
      </c>
      <c r="B19" s="687">
        <f>1/'Users next years'!F31</f>
        <v>1.8206700557076188</v>
      </c>
      <c r="C19" s="687">
        <f>1/'Users next years'!J31</f>
        <v>2.7777777777777777</v>
      </c>
      <c r="D19" s="687">
        <f>1/'Users next years'!N31</f>
        <v>3.125</v>
      </c>
      <c r="E19" s="687">
        <f>1/'Users next years'!R31</f>
        <v>3.4482758620689657</v>
      </c>
      <c r="F19" s="687">
        <f>1/'Users next years'!V31</f>
        <v>3.8461538461538458</v>
      </c>
    </row>
    <row r="20" spans="1:18" ht="31.2" customHeight="1" x14ac:dyDescent="0.3">
      <c r="A20" s="693" t="s">
        <v>292</v>
      </c>
      <c r="B20" s="729" t="s">
        <v>148</v>
      </c>
      <c r="C20" s="729" t="s">
        <v>148</v>
      </c>
      <c r="D20" s="729" t="s">
        <v>148</v>
      </c>
      <c r="E20" s="729" t="s">
        <v>148</v>
      </c>
      <c r="F20" s="729" t="s">
        <v>148</v>
      </c>
    </row>
    <row r="21" spans="1:18" ht="19.8" customHeight="1" x14ac:dyDescent="0.3">
      <c r="A21" s="749" t="s">
        <v>289</v>
      </c>
      <c r="B21" s="692">
        <f t="shared" ref="B21:F23" si="0">B5*B17</f>
        <v>61.605678481307159</v>
      </c>
      <c r="C21" s="692">
        <f t="shared" si="0"/>
        <v>1.6473356568182043</v>
      </c>
      <c r="D21" s="692">
        <f t="shared" si="0"/>
        <v>1.9993176208606893</v>
      </c>
      <c r="E21" s="692">
        <f t="shared" si="0"/>
        <v>2.1155490154852385</v>
      </c>
      <c r="F21" s="692">
        <f t="shared" si="0"/>
        <v>2.0882042556774434</v>
      </c>
    </row>
    <row r="22" spans="1:18" ht="19.8" customHeight="1" x14ac:dyDescent="0.3">
      <c r="A22" s="749" t="s">
        <v>96</v>
      </c>
      <c r="B22" s="692">
        <f t="shared" si="0"/>
        <v>546.78600754310389</v>
      </c>
      <c r="C22" s="692">
        <f t="shared" si="0"/>
        <v>585.24140855385099</v>
      </c>
      <c r="D22" s="692">
        <f t="shared" si="0"/>
        <v>670.93230734657573</v>
      </c>
      <c r="E22" s="692">
        <f t="shared" si="0"/>
        <v>775.38534603157723</v>
      </c>
      <c r="F22" s="692">
        <f t="shared" si="0"/>
        <v>905.01085905140758</v>
      </c>
    </row>
    <row r="23" spans="1:18" ht="19.8" customHeight="1" x14ac:dyDescent="0.3">
      <c r="A23" s="749" t="s">
        <v>97</v>
      </c>
      <c r="B23" s="692">
        <f t="shared" si="0"/>
        <v>868.66115887740978</v>
      </c>
      <c r="C23" s="692">
        <f t="shared" si="0"/>
        <v>1394.1797419037778</v>
      </c>
      <c r="D23" s="692">
        <f t="shared" si="0"/>
        <v>1648.262536132898</v>
      </c>
      <c r="E23" s="692">
        <f t="shared" si="0"/>
        <v>1910.8410692715752</v>
      </c>
      <c r="F23" s="692">
        <f t="shared" si="0"/>
        <v>2238.8651050772919</v>
      </c>
    </row>
    <row r="24" spans="1:18" s="694" customFormat="1" ht="34.799999999999997" customHeight="1" x14ac:dyDescent="0.3">
      <c r="A24" s="733" t="s">
        <v>370</v>
      </c>
      <c r="B24" s="963" t="s">
        <v>148</v>
      </c>
      <c r="C24" s="963" t="s">
        <v>148</v>
      </c>
      <c r="D24" s="963" t="s">
        <v>148</v>
      </c>
      <c r="E24" s="963" t="s">
        <v>148</v>
      </c>
      <c r="F24" s="963" t="s">
        <v>148</v>
      </c>
      <c r="G24" s="16"/>
      <c r="H24" s="16"/>
      <c r="I24" s="30"/>
      <c r="J24" s="16"/>
      <c r="K24" s="16"/>
      <c r="L24" s="16"/>
      <c r="M24" s="16"/>
      <c r="N24" s="16"/>
      <c r="O24" s="16"/>
      <c r="P24" s="16"/>
      <c r="Q24" s="16"/>
      <c r="R24" s="16"/>
    </row>
    <row r="25" spans="1:18" s="16" customFormat="1" ht="19.8" customHeight="1" x14ac:dyDescent="0.3">
      <c r="A25" s="749" t="s">
        <v>95</v>
      </c>
      <c r="B25" s="692">
        <f>('Expenses 5yrs'!$C$19+'Expenses 5yrs'!$C$23)/('Users next years'!$E$10*'Users next years'!E20)</f>
        <v>9.8685676578644816</v>
      </c>
      <c r="C25" s="692">
        <f>('Expenses 5yrs'!$D$19+'Expenses 5yrs'!$D$23)/('Users next years'!$E$10*'Users next years'!I20)</f>
        <v>7.7824028716847859</v>
      </c>
      <c r="D25" s="692">
        <f>('Expenses 5yrs'!$E$19+'Expenses 5yrs'!$E$23)/('Users next years'!$E$10*'Users next years'!M20)</f>
        <v>7.9663240157480883</v>
      </c>
      <c r="E25" s="692">
        <f>('Expenses 5yrs'!$F$19+'Expenses 5yrs'!$F$23)/('Users next years'!$E$10*'Users next years'!Q20)</f>
        <v>8.1591235060268179</v>
      </c>
      <c r="F25" s="692">
        <f>('Expenses 5yrs'!$G$19+'Expenses 5yrs'!$G$23)/('Users next years'!$E$10*'Users next years'!U20)</f>
        <v>8.3614559027347166</v>
      </c>
    </row>
    <row r="26" spans="1:18" s="16" customFormat="1" ht="19.8" customHeight="1" x14ac:dyDescent="0.3">
      <c r="A26" s="749" t="s">
        <v>96</v>
      </c>
      <c r="B26" s="692">
        <f>('Expenses 5yrs'!$C$19+'Expenses 5yrs'!$C$23)/('Users next years'!$E$10*'Users next years'!E21)</f>
        <v>111.0213861509754</v>
      </c>
      <c r="C26" s="692">
        <f>('Expenses 5yrs'!$D$19+'Expenses 5yrs'!$D$23)/('Users next years'!$E$10*'Users next years'!I21)</f>
        <v>76.094605856473478</v>
      </c>
      <c r="D26" s="692">
        <f>('Expenses 5yrs'!$E$19+'Expenses 5yrs'!$E$23)/('Users next years'!$E$10*'Users next years'!M21)</f>
        <v>68.510386535433554</v>
      </c>
      <c r="E26" s="692">
        <f>('Expenses 5yrs'!$F$19+'Expenses 5yrs'!$F$23)/('Users next years'!$E$10*'Users next years'!Q21)</f>
        <v>62.306034046022972</v>
      </c>
      <c r="F26" s="692">
        <f>('Expenses 5yrs'!$G$19+'Expenses 5yrs'!$G$23)/('Users next years'!$E$10*'Users next years'!U21)</f>
        <v>57.136615335353895</v>
      </c>
    </row>
    <row r="27" spans="1:18" s="16" customFormat="1" ht="19.8" customHeight="1" x14ac:dyDescent="0.3">
      <c r="A27" s="749" t="s">
        <v>97</v>
      </c>
      <c r="B27" s="692">
        <f>('Expenses 5yrs'!$C$19+'Expenses 5yrs'!$C$23)/('Users next years'!$E$10*'Users next years'!E22)</f>
        <v>444.08554460390161</v>
      </c>
      <c r="C27" s="692">
        <f>('Expenses 5yrs'!$D$19+'Expenses 5yrs'!$D$23)/('Users next years'!$E$10*'Users next years'!I22)</f>
        <v>228.28381756942042</v>
      </c>
      <c r="D27" s="692">
        <f>('Expenses 5yrs'!$E$19+'Expenses 5yrs'!$E$23)/('Users next years'!$E$10*'Users next years'!M22)</f>
        <v>171.27596633858388</v>
      </c>
      <c r="E27" s="692">
        <f>('Expenses 5yrs'!$F$19+'Expenses 5yrs'!$F$23)/('Users next years'!$E$10*'Users next years'!Q22)</f>
        <v>137.07327490125056</v>
      </c>
      <c r="F27" s="692">
        <f>('Expenses 5yrs'!$G$19+'Expenses 5yrs'!$G$23)/('Users next years'!$E$10*'Users next years'!U22)</f>
        <v>114.27323067070779</v>
      </c>
    </row>
    <row r="28" spans="1:18" s="16" customFormat="1" ht="25.8" customHeight="1" x14ac:dyDescent="0.3">
      <c r="A28" s="693" t="s">
        <v>321</v>
      </c>
      <c r="B28" s="751"/>
      <c r="C28" s="751"/>
      <c r="D28" s="751"/>
      <c r="E28" s="751"/>
      <c r="F28" s="751"/>
    </row>
    <row r="29" spans="1:18" s="16" customFormat="1" ht="19.8" customHeight="1" x14ac:dyDescent="0.3">
      <c r="A29" s="749" t="s">
        <v>289</v>
      </c>
      <c r="B29" s="687">
        <f>B21/B25</f>
        <v>6.2426160124881163</v>
      </c>
      <c r="C29" s="687">
        <f t="shared" ref="C29:F29" si="1">C21/C25</f>
        <v>0.21167442549290411</v>
      </c>
      <c r="D29" s="687">
        <f t="shared" si="1"/>
        <v>0.25097116523359747</v>
      </c>
      <c r="E29" s="687">
        <f t="shared" si="1"/>
        <v>0.25928630862402896</v>
      </c>
      <c r="F29" s="687">
        <f t="shared" si="1"/>
        <v>0.24974170526863276</v>
      </c>
    </row>
    <row r="30" spans="1:18" s="16" customFormat="1" ht="19.8" customHeight="1" x14ac:dyDescent="0.3">
      <c r="A30" s="749" t="s">
        <v>96</v>
      </c>
      <c r="B30" s="687">
        <f t="shared" ref="B30:F31" si="2">B22/B26</f>
        <v>4.9250511680654236</v>
      </c>
      <c r="C30" s="687">
        <f t="shared" si="2"/>
        <v>7.690971021752965</v>
      </c>
      <c r="D30" s="687">
        <f t="shared" si="2"/>
        <v>9.7931473062054568</v>
      </c>
      <c r="E30" s="687">
        <f t="shared" si="2"/>
        <v>12.444787377396404</v>
      </c>
      <c r="F30" s="687">
        <f t="shared" si="2"/>
        <v>15.839420199106936</v>
      </c>
    </row>
    <row r="31" spans="1:18" s="16" customFormat="1" ht="19.8" customHeight="1" x14ac:dyDescent="0.3">
      <c r="A31" s="749" t="s">
        <v>97</v>
      </c>
      <c r="B31" s="687">
        <f t="shared" si="2"/>
        <v>1.9560671799218432</v>
      </c>
      <c r="C31" s="687">
        <f t="shared" si="2"/>
        <v>6.1072210757112115</v>
      </c>
      <c r="D31" s="687">
        <f t="shared" si="2"/>
        <v>9.6234315378175079</v>
      </c>
      <c r="E31" s="687">
        <f t="shared" si="2"/>
        <v>13.940289021679616</v>
      </c>
      <c r="F31" s="687">
        <f t="shared" si="2"/>
        <v>19.592209758459127</v>
      </c>
    </row>
    <row r="32" spans="1:18" ht="26.4" customHeight="1" x14ac:dyDescent="0.3">
      <c r="A32" s="693" t="s">
        <v>318</v>
      </c>
      <c r="B32" s="695">
        <f>'P&amp;L'!D64/'Users next years'!G48</f>
        <v>20.355093241596801</v>
      </c>
      <c r="C32" s="695">
        <f>'P&amp;L'!F64/'Users next years'!K48</f>
        <v>6.5430719548460266</v>
      </c>
      <c r="D32" s="695">
        <f>'P&amp;L'!H64/'Users next years'!O48</f>
        <v>4.838951324859436</v>
      </c>
      <c r="E32" s="695">
        <f>'P&amp;L'!J64/'Users next years'!S48</f>
        <v>3.4350363992292241</v>
      </c>
      <c r="F32" s="695">
        <f>'P&amp;L'!L64/'Users next years'!W48</f>
        <v>2.5329782445415847</v>
      </c>
    </row>
    <row r="33" spans="1:6" ht="19.8" customHeight="1" x14ac:dyDescent="0.3">
      <c r="A33" s="749" t="s">
        <v>103</v>
      </c>
      <c r="B33" s="692">
        <f>'P&amp;L'!$D$64/'Users next years'!G45</f>
        <v>21.759376463051002</v>
      </c>
      <c r="C33" s="692">
        <f>'P&amp;L'!$F$64/'Users next years'!K45</f>
        <v>7.0142518303047483</v>
      </c>
      <c r="D33" s="692">
        <f>'P&amp;L'!$H$64/'Users next years'!$O$45</f>
        <v>5.3900785235391337</v>
      </c>
      <c r="E33" s="692">
        <f>'P&amp;L'!$J$64/'Users next years'!S45</f>
        <v>3.944430121113121</v>
      </c>
      <c r="F33" s="692">
        <f>'P&amp;L'!$L$64/'Users next years'!W45</f>
        <v>2.9888478893705686</v>
      </c>
    </row>
    <row r="34" spans="1:6" ht="19.8" customHeight="1" x14ac:dyDescent="0.3">
      <c r="A34" s="749" t="s">
        <v>96</v>
      </c>
      <c r="B34" s="692">
        <f>'P&amp;L'!$D$64/'Users next years'!G46</f>
        <v>395.74722816496859</v>
      </c>
      <c r="C34" s="692">
        <f>'P&amp;L'!$F$64/'Users next years'!K46</f>
        <v>132.44517915863622</v>
      </c>
      <c r="D34" s="692">
        <f>'P&amp;L'!$H$64/'Users next years'!$O$45</f>
        <v>5.3900785235391337</v>
      </c>
      <c r="E34" s="692">
        <f>'P&amp;L'!$J$64/'Users next years'!S46</f>
        <v>41.128427147355858</v>
      </c>
      <c r="F34" s="692">
        <f>'P&amp;L'!$L$64/'Users next years'!W46</f>
        <v>26.805010977917981</v>
      </c>
    </row>
    <row r="35" spans="1:6" ht="19.8" customHeight="1" x14ac:dyDescent="0.3">
      <c r="A35" s="749" t="s">
        <v>97</v>
      </c>
      <c r="B35" s="692">
        <f>'P&amp;L'!$D$64/'Users next years'!G47</f>
        <v>1553.5461854864914</v>
      </c>
      <c r="C35" s="692">
        <f>'P&amp;L'!$F$64/'Users next years'!K47</f>
        <v>368.15647345991823</v>
      </c>
      <c r="D35" s="692">
        <f>'P&amp;L'!$H$64/'Users next years'!$O$45</f>
        <v>5.3900785235391337</v>
      </c>
      <c r="E35" s="692">
        <f>'P&amp;L'!$J$64/'Users next years'!S47</f>
        <v>75.292135121606279</v>
      </c>
      <c r="F35" s="692">
        <f>'P&amp;L'!$L$64/'Users next years'!W47</f>
        <v>43.651650548317811</v>
      </c>
    </row>
    <row r="36" spans="1:6" ht="27.6" customHeight="1" x14ac:dyDescent="0.3">
      <c r="A36" s="693" t="s">
        <v>319</v>
      </c>
      <c r="B36" s="695">
        <f t="shared" ref="B36:F39" si="3">B4-B32</f>
        <v>5.0716691162234291</v>
      </c>
      <c r="C36" s="695">
        <f t="shared" si="3"/>
        <v>20.454263787595551</v>
      </c>
      <c r="D36" s="695">
        <f t="shared" si="3"/>
        <v>38.816724250477016</v>
      </c>
      <c r="E36" s="695">
        <f t="shared" si="3"/>
        <v>54.99111955013116</v>
      </c>
      <c r="F36" s="695">
        <f t="shared" si="3"/>
        <v>70.419200141738898</v>
      </c>
    </row>
    <row r="37" spans="1:6" ht="19.8" customHeight="1" x14ac:dyDescent="0.3">
      <c r="A37" s="749" t="s">
        <v>289</v>
      </c>
      <c r="B37" s="692">
        <f t="shared" si="3"/>
        <v>-16.206463029107017</v>
      </c>
      <c r="C37" s="692">
        <f t="shared" si="3"/>
        <v>-6.2317673933161011</v>
      </c>
      <c r="D37" s="692">
        <f t="shared" si="3"/>
        <v>-4.5003821822561267</v>
      </c>
      <c r="E37" s="692">
        <f t="shared" si="3"/>
        <v>-3.066477279686747</v>
      </c>
      <c r="F37" s="692">
        <f t="shared" si="3"/>
        <v>-2.1744482296563654</v>
      </c>
    </row>
    <row r="38" spans="1:6" ht="19.8" customHeight="1" x14ac:dyDescent="0.3">
      <c r="A38" s="749" t="s">
        <v>96</v>
      </c>
      <c r="B38" s="692">
        <f t="shared" si="3"/>
        <v>-61.948880858778978</v>
      </c>
      <c r="C38" s="692">
        <f t="shared" si="3"/>
        <v>218.69966597367437</v>
      </c>
      <c r="D38" s="692">
        <f t="shared" si="3"/>
        <v>363.6226905170775</v>
      </c>
      <c r="E38" s="692">
        <f t="shared" si="3"/>
        <v>346.56424586843275</v>
      </c>
      <c r="F38" s="692">
        <f t="shared" si="3"/>
        <v>380.44987559521542</v>
      </c>
    </row>
    <row r="39" spans="1:6" ht="19.8" customHeight="1" x14ac:dyDescent="0.3">
      <c r="A39" s="749" t="s">
        <v>97</v>
      </c>
      <c r="B39" s="692">
        <f t="shared" si="3"/>
        <v>-1076.435488710739</v>
      </c>
      <c r="C39" s="692">
        <f t="shared" si="3"/>
        <v>133.74823362544174</v>
      </c>
      <c r="D39" s="692">
        <f t="shared" si="3"/>
        <v>522.05393303898825</v>
      </c>
      <c r="E39" s="692">
        <f t="shared" si="3"/>
        <v>478.8517749671505</v>
      </c>
      <c r="F39" s="692">
        <f t="shared" si="3"/>
        <v>538.45327677177818</v>
      </c>
    </row>
    <row r="40" spans="1:6" ht="28.2" customHeight="1" x14ac:dyDescent="0.3">
      <c r="A40" s="733" t="s">
        <v>293</v>
      </c>
      <c r="B40" s="734" t="s">
        <v>148</v>
      </c>
      <c r="C40" s="731">
        <f>('Users next years'!L6-'Users next years'!H6)/'Users next years'!H6</f>
        <v>0.28446397899497927</v>
      </c>
      <c r="D40" s="731">
        <f>('Users next years'!P6-'Users next years'!L6)/'Users next years'!L6</f>
        <v>0.43720188925979958</v>
      </c>
      <c r="E40" s="731">
        <f>('Users next years'!T6-'Users next years'!P6)/'Users next years'!P6</f>
        <v>0.42092705557091148</v>
      </c>
      <c r="F40" s="731">
        <f>('Users next years'!X6-'Users next years'!T6)/'Users next years'!T6</f>
        <v>0.33565014676769844</v>
      </c>
    </row>
    <row r="41" spans="1:6" s="16" customFormat="1" ht="19.8" customHeight="1" x14ac:dyDescent="0.3">
      <c r="A41" s="749" t="s">
        <v>95</v>
      </c>
      <c r="B41" s="732" t="s">
        <v>148</v>
      </c>
      <c r="C41" s="688">
        <f>('Users next years'!L3-'Users next years'!H3)/'Users next years'!H3</f>
        <v>0.2315108011060914</v>
      </c>
      <c r="D41" s="688">
        <f>('Users next years'!P3-'Users next years'!L3)/'Users next years'!L3</f>
        <v>0.38971279278719839</v>
      </c>
      <c r="E41" s="688">
        <f>('Users next years'!T3-'Users next years'!P3)/'Users next years'!P3</f>
        <v>0.381329794832446</v>
      </c>
      <c r="F41" s="688">
        <f>('Users next years'!X3-'Users next years'!T3)/'Users next years'!T3</f>
        <v>0.29985579960121322</v>
      </c>
    </row>
    <row r="42" spans="1:6" s="16" customFormat="1" ht="19.8" customHeight="1" x14ac:dyDescent="0.3">
      <c r="A42" s="749" t="s">
        <v>96</v>
      </c>
      <c r="B42" s="732" t="s">
        <v>148</v>
      </c>
      <c r="C42" s="688">
        <f>('Users next years'!L4-'Users next years'!H4)/'Users next years'!H4</f>
        <v>1.1912243065126342</v>
      </c>
      <c r="D42" s="688">
        <f>('Users next years'!P4-'Users next years'!L4)/'Users next years'!L4</f>
        <v>0.82353823881427102</v>
      </c>
      <c r="E42" s="688">
        <f>('Users next years'!T4-'Users next years'!P4)/'Users next years'!P4</f>
        <v>0.64141365773602943</v>
      </c>
      <c r="F42" s="688">
        <f>('Users next years'!X4-'Users next years'!T4)/'Users next years'!T4</f>
        <v>0.49598789757305961</v>
      </c>
    </row>
    <row r="43" spans="1:6" s="16" customFormat="1" ht="19.8" customHeight="1" x14ac:dyDescent="0.3">
      <c r="A43" s="749" t="s">
        <v>97</v>
      </c>
      <c r="B43" s="732" t="s">
        <v>148</v>
      </c>
      <c r="C43" s="688">
        <f>('Users next years'!L5-'Users next years'!H5)/'Users next years'!H5</f>
        <v>2.1968753614352372</v>
      </c>
      <c r="D43" s="688">
        <f>('Users next years'!P5-'Users next years'!L5)/'Users next years'!L5</f>
        <v>1.2750275335620151</v>
      </c>
      <c r="E43" s="688">
        <f>('Users next years'!T5-'Users next years'!P5)/'Users next years'!P5</f>
        <v>0.89789926045276736</v>
      </c>
      <c r="F43" s="688">
        <f>('Users next years'!X5-'Users next years'!T5)/'Users next years'!T5</f>
        <v>0.66230040115390387</v>
      </c>
    </row>
    <row r="44" spans="1:6" s="16" customFormat="1" ht="19.8" customHeight="1" x14ac:dyDescent="0.3"/>
  </sheetData>
  <pageMargins left="0.7" right="0.7" top="0.75" bottom="0.75" header="0.3" footer="0.3"/>
  <pageSetup orientation="portrait" horizontalDpi="360" verticalDpi="36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5AAE-2985-40F1-B454-630FD4D9DDA0}">
  <dimension ref="A1:I30"/>
  <sheetViews>
    <sheetView tabSelected="1" topLeftCell="A16" workbookViewId="0">
      <selection activeCell="J27" sqref="J27"/>
    </sheetView>
  </sheetViews>
  <sheetFormatPr defaultRowHeight="20.399999999999999" customHeight="1" x14ac:dyDescent="0.3"/>
  <cols>
    <col min="1" max="1" width="36.44140625" style="2" customWidth="1"/>
    <col min="2" max="6" width="9.21875" style="2" customWidth="1"/>
    <col min="7" max="16384" width="8.88671875" style="2"/>
  </cols>
  <sheetData>
    <row r="1" spans="1:9" ht="20.399999999999999" customHeight="1" x14ac:dyDescent="0.3">
      <c r="A1" s="343" t="s">
        <v>379</v>
      </c>
      <c r="G1" s="346"/>
    </row>
    <row r="2" spans="1:9" ht="20.399999999999999" customHeight="1" x14ac:dyDescent="0.3">
      <c r="B2" s="32"/>
      <c r="C2" s="32"/>
      <c r="D2" s="32"/>
      <c r="E2" s="32"/>
      <c r="F2" s="32"/>
      <c r="G2" s="32"/>
    </row>
    <row r="3" spans="1:9" ht="20.399999999999999" customHeight="1" x14ac:dyDescent="0.3">
      <c r="A3" s="349" t="s">
        <v>21</v>
      </c>
      <c r="B3" s="344" t="s">
        <v>38</v>
      </c>
      <c r="C3" s="344" t="s">
        <v>39</v>
      </c>
      <c r="D3" s="344" t="s">
        <v>40</v>
      </c>
      <c r="E3" s="344" t="s">
        <v>141</v>
      </c>
      <c r="F3" s="344" t="s">
        <v>145</v>
      </c>
      <c r="G3" s="32"/>
    </row>
    <row r="4" spans="1:9" ht="20.399999999999999" customHeight="1" x14ac:dyDescent="0.3">
      <c r="A4" s="353" t="str">
        <f>'Sales 5yrs'!A4</f>
        <v>Advanced membership</v>
      </c>
      <c r="B4" s="32">
        <f>'P&amp;L'!D4</f>
        <v>47424.864686339672</v>
      </c>
      <c r="C4" s="32">
        <f>'P&amp;L'!F4</f>
        <v>116605.06798564094</v>
      </c>
      <c r="D4" s="32">
        <f>'P&amp;L'!H4</f>
        <v>237372.22728537864</v>
      </c>
      <c r="E4" s="32">
        <f>'P&amp;L'!J4</f>
        <v>425183.91254389921</v>
      </c>
      <c r="F4" s="32">
        <f>'P&amp;L'!L4</f>
        <v>692452.87372385676</v>
      </c>
      <c r="G4" s="32"/>
    </row>
    <row r="5" spans="1:9" ht="20.399999999999999" customHeight="1" x14ac:dyDescent="0.3">
      <c r="A5" s="353" t="str">
        <f>'Sales 5yrs'!A5</f>
        <v>Premium membership</v>
      </c>
      <c r="B5" s="32">
        <f>'P&amp;L'!D5</f>
        <v>17267.711521571986</v>
      </c>
      <c r="C5" s="32">
        <f>'P&amp;L'!F5</f>
        <v>59959.238948041348</v>
      </c>
      <c r="D5" s="32">
        <f>'P&amp;L'!H5</f>
        <v>157057.9769748523</v>
      </c>
      <c r="E5" s="32">
        <f>'P&amp;L'!J5</f>
        <v>331974.16238248901</v>
      </c>
      <c r="F5" s="32">
        <f>'P&amp;L'!L5</f>
        <v>607771.75466906733</v>
      </c>
      <c r="G5" s="32"/>
    </row>
    <row r="6" spans="1:9" ht="20.399999999999999" customHeight="1" x14ac:dyDescent="0.3">
      <c r="A6" s="353" t="str">
        <f>'Sales 5yrs'!A6</f>
        <v>ID verifications</v>
      </c>
      <c r="B6" s="956">
        <f>'P&amp;L'!D6</f>
        <v>5543.0999999999995</v>
      </c>
      <c r="C6" s="956">
        <f>'P&amp;L'!F6</f>
        <v>4906.3851670383792</v>
      </c>
      <c r="D6" s="956">
        <f>'P&amp;L'!H6</f>
        <v>7351.0076915525642</v>
      </c>
      <c r="E6" s="956">
        <f>'P&amp;L'!J6</f>
        <v>10039.642632883946</v>
      </c>
      <c r="F6" s="956">
        <f>'P&amp;L'!L6</f>
        <v>12418.629707846481</v>
      </c>
      <c r="G6" s="32"/>
    </row>
    <row r="7" spans="1:9" s="3" customFormat="1" ht="20.399999999999999" customHeight="1" x14ac:dyDescent="0.3">
      <c r="A7" s="293" t="s">
        <v>47</v>
      </c>
      <c r="B7" s="33">
        <f>SUM(B4:B6)</f>
        <v>70235.67620791166</v>
      </c>
      <c r="C7" s="33">
        <f>SUM(C4:C6)</f>
        <v>181470.69210072068</v>
      </c>
      <c r="D7" s="33">
        <f>SUM(D4:D6)</f>
        <v>401781.21195178351</v>
      </c>
      <c r="E7" s="33">
        <f>SUM(E4:E6)</f>
        <v>767197.71755927219</v>
      </c>
      <c r="F7" s="33">
        <f>SUM(F4:F6)</f>
        <v>1312643.2581007706</v>
      </c>
      <c r="G7" s="33"/>
    </row>
    <row r="8" spans="1:9" ht="20.399999999999999" customHeight="1" x14ac:dyDescent="0.3">
      <c r="B8" s="32"/>
      <c r="C8" s="32"/>
      <c r="D8" s="32"/>
      <c r="E8" s="32"/>
      <c r="F8" s="32"/>
      <c r="G8" s="32"/>
    </row>
    <row r="9" spans="1:9" ht="20.399999999999999" customHeight="1" x14ac:dyDescent="0.3">
      <c r="B9" s="32"/>
      <c r="C9" s="32"/>
      <c r="D9" s="32"/>
      <c r="E9" s="32"/>
      <c r="F9" s="32"/>
      <c r="G9" s="32"/>
    </row>
    <row r="10" spans="1:9" ht="20.399999999999999" customHeight="1" x14ac:dyDescent="0.3">
      <c r="B10" s="344" t="s">
        <v>38</v>
      </c>
      <c r="C10" s="344" t="s">
        <v>39</v>
      </c>
      <c r="D10" s="344" t="s">
        <v>40</v>
      </c>
      <c r="E10" s="344" t="s">
        <v>141</v>
      </c>
      <c r="F10" s="344" t="s">
        <v>145</v>
      </c>
      <c r="G10" s="32"/>
    </row>
    <row r="11" spans="1:9" s="3" customFormat="1" ht="20.399999999999999" customHeight="1" x14ac:dyDescent="0.3">
      <c r="A11" s="3" t="s">
        <v>380</v>
      </c>
      <c r="B11" s="33">
        <f>'P&amp;L'!D51</f>
        <v>-49412.393749549898</v>
      </c>
      <c r="C11" s="33">
        <f>'P&amp;L'!F51</f>
        <v>55890.176655406947</v>
      </c>
      <c r="D11" s="33">
        <f>'P&amp;L'!H51</f>
        <v>230953.66236024624</v>
      </c>
      <c r="E11" s="33">
        <f>'P&amp;L'!J51</f>
        <v>523415.42688584857</v>
      </c>
      <c r="F11" s="33">
        <f>'P&amp;L'!L51</f>
        <v>961703.35566358897</v>
      </c>
      <c r="G11" s="33"/>
      <c r="H11" s="33"/>
      <c r="I11" s="33"/>
    </row>
    <row r="12" spans="1:9" ht="20.399999999999999" customHeight="1" x14ac:dyDescent="0.3">
      <c r="B12" s="32"/>
      <c r="C12" s="32"/>
      <c r="D12" s="32"/>
      <c r="E12" s="32"/>
      <c r="F12" s="32"/>
      <c r="G12" s="32"/>
      <c r="H12" s="32"/>
      <c r="I12" s="32"/>
    </row>
    <row r="13" spans="1:9" ht="20.399999999999999" customHeight="1" x14ac:dyDescent="0.3">
      <c r="B13" s="32"/>
      <c r="C13" s="32"/>
      <c r="D13" s="32"/>
      <c r="E13" s="32"/>
      <c r="F13" s="32"/>
      <c r="G13" s="32"/>
      <c r="H13" s="32"/>
      <c r="I13" s="32"/>
    </row>
    <row r="14" spans="1:9" ht="26.4" customHeight="1" x14ac:dyDescent="0.3">
      <c r="A14" s="696" t="s">
        <v>323</v>
      </c>
      <c r="B14" s="697" t="s">
        <v>2</v>
      </c>
      <c r="C14" s="697" t="s">
        <v>3</v>
      </c>
      <c r="D14" s="698" t="s">
        <v>4</v>
      </c>
      <c r="E14" s="698" t="s">
        <v>146</v>
      </c>
      <c r="F14" s="698" t="s">
        <v>147</v>
      </c>
      <c r="G14" s="32"/>
      <c r="H14" s="32"/>
      <c r="I14" s="32"/>
    </row>
    <row r="15" spans="1:9" ht="26.4" customHeight="1" x14ac:dyDescent="0.3">
      <c r="A15" s="733" t="s">
        <v>391</v>
      </c>
      <c r="B15" s="959">
        <f>'Custmr metrics'!B4</f>
        <v>25.42676235782023</v>
      </c>
      <c r="C15" s="959">
        <f>'Custmr metrics'!C4</f>
        <v>26.997335742441578</v>
      </c>
      <c r="D15" s="959">
        <f>'Custmr metrics'!D4</f>
        <v>43.655675575336453</v>
      </c>
      <c r="E15" s="959">
        <f>'Custmr metrics'!E4</f>
        <v>58.426155949360385</v>
      </c>
      <c r="F15" s="959">
        <f>'Custmr metrics'!F4</f>
        <v>72.95217838628048</v>
      </c>
      <c r="G15" s="32"/>
      <c r="H15" s="32"/>
      <c r="I15" s="32"/>
    </row>
    <row r="16" spans="1:9" ht="20.399999999999999" customHeight="1" x14ac:dyDescent="0.3">
      <c r="A16" s="749" t="s">
        <v>289</v>
      </c>
      <c r="B16" s="960">
        <f>'Custmr metrics'!B5</f>
        <v>5.552913433943985</v>
      </c>
      <c r="C16" s="960">
        <f>'Custmr metrics'!C5</f>
        <v>0.78248443698864711</v>
      </c>
      <c r="D16" s="960">
        <f>'Custmr metrics'!D5</f>
        <v>0.88969634128300668</v>
      </c>
      <c r="E16" s="960">
        <f>'Custmr metrics'!E5</f>
        <v>0.87795284142637386</v>
      </c>
      <c r="F16" s="960">
        <f>'Custmr metrics'!F5</f>
        <v>0.81439965971420303</v>
      </c>
      <c r="G16" s="32"/>
      <c r="H16" s="32"/>
      <c r="I16" s="32"/>
    </row>
    <row r="17" spans="1:9" ht="20.399999999999999" customHeight="1" x14ac:dyDescent="0.3">
      <c r="A17" s="749" t="s">
        <v>96</v>
      </c>
      <c r="B17" s="960">
        <f>'Custmr metrics'!B6</f>
        <v>333.79834730618961</v>
      </c>
      <c r="C17" s="960">
        <f>'Custmr metrics'!C6</f>
        <v>351.14484513231059</v>
      </c>
      <c r="D17" s="960">
        <f>'Custmr metrics'!D6</f>
        <v>369.01276904061666</v>
      </c>
      <c r="E17" s="960">
        <f>'Custmr metrics'!E6</f>
        <v>387.69267301578861</v>
      </c>
      <c r="F17" s="960">
        <f>'Custmr metrics'!F6</f>
        <v>407.25488657313338</v>
      </c>
      <c r="G17" s="32"/>
      <c r="H17" s="32"/>
      <c r="I17" s="32"/>
    </row>
    <row r="18" spans="1:9" ht="20.399999999999999" customHeight="1" x14ac:dyDescent="0.3">
      <c r="A18" s="749" t="s">
        <v>97</v>
      </c>
      <c r="B18" s="960">
        <f>'Custmr metrics'!B7</f>
        <v>477.11069677575233</v>
      </c>
      <c r="C18" s="960">
        <f>'Custmr metrics'!C7</f>
        <v>501.90470708535997</v>
      </c>
      <c r="D18" s="960">
        <f>'Custmr metrics'!D7</f>
        <v>527.44401156252741</v>
      </c>
      <c r="E18" s="960">
        <f>'Custmr metrics'!E7</f>
        <v>554.1439100887568</v>
      </c>
      <c r="F18" s="960">
        <f>'Custmr metrics'!F7</f>
        <v>582.10492732009595</v>
      </c>
      <c r="G18" s="32"/>
      <c r="H18" s="32"/>
      <c r="I18" s="32"/>
    </row>
    <row r="19" spans="1:9" ht="27" customHeight="1" x14ac:dyDescent="0.3">
      <c r="A19" s="962" t="s">
        <v>284</v>
      </c>
      <c r="B19" s="961" t="s">
        <v>148</v>
      </c>
      <c r="C19" s="961" t="s">
        <v>148</v>
      </c>
      <c r="D19" s="961" t="s">
        <v>148</v>
      </c>
      <c r="E19" s="961" t="s">
        <v>148</v>
      </c>
      <c r="F19" s="961" t="s">
        <v>148</v>
      </c>
    </row>
    <row r="20" spans="1:9" ht="20.399999999999999" customHeight="1" x14ac:dyDescent="0.3">
      <c r="A20" s="749" t="s">
        <v>95</v>
      </c>
      <c r="B20" s="688">
        <f>'Custmr metrics'!B9</f>
        <v>9.0136389547740961E-2</v>
      </c>
      <c r="C20" s="688">
        <f>'Custmr metrics'!C9</f>
        <v>0.47499999999999998</v>
      </c>
      <c r="D20" s="688">
        <f>'Custmr metrics'!D9</f>
        <v>0.44500000000000001</v>
      </c>
      <c r="E20" s="688">
        <f>'Custmr metrics'!E9</f>
        <v>0.41499999999999998</v>
      </c>
      <c r="F20" s="688">
        <f>'Custmr metrics'!F9</f>
        <v>0.39</v>
      </c>
    </row>
    <row r="21" spans="1:9" ht="20.399999999999999" customHeight="1" x14ac:dyDescent="0.3">
      <c r="A21" s="749" t="s">
        <v>96</v>
      </c>
      <c r="B21" s="688">
        <f>'Custmr metrics'!B10</f>
        <v>0.61047346256364443</v>
      </c>
      <c r="C21" s="688">
        <f>'Custmr metrics'!C10</f>
        <v>0.6</v>
      </c>
      <c r="D21" s="688">
        <f>'Custmr metrics'!D10</f>
        <v>0.55000000000000004</v>
      </c>
      <c r="E21" s="688">
        <f>'Custmr metrics'!E10</f>
        <v>0.5</v>
      </c>
      <c r="F21" s="688">
        <f>'Custmr metrics'!F10</f>
        <v>0.45</v>
      </c>
    </row>
    <row r="22" spans="1:9" ht="20.399999999999999" customHeight="1" x14ac:dyDescent="0.3">
      <c r="A22" s="749" t="s">
        <v>97</v>
      </c>
      <c r="B22" s="688">
        <f>'Custmr metrics'!B11</f>
        <v>0.54924833682253404</v>
      </c>
      <c r="C22" s="688">
        <f>'Custmr metrics'!C11</f>
        <v>0.36</v>
      </c>
      <c r="D22" s="688">
        <f>'Custmr metrics'!D11</f>
        <v>0.32</v>
      </c>
      <c r="E22" s="688">
        <f>'Custmr metrics'!E11</f>
        <v>0.28999999999999998</v>
      </c>
      <c r="F22" s="688">
        <f>'Custmr metrics'!F11</f>
        <v>0.26</v>
      </c>
    </row>
    <row r="23" spans="1:9" ht="27.6" customHeight="1" x14ac:dyDescent="0.3">
      <c r="A23" s="693" t="s">
        <v>392</v>
      </c>
      <c r="B23" s="961" t="s">
        <v>148</v>
      </c>
      <c r="C23" s="961" t="s">
        <v>148</v>
      </c>
      <c r="D23" s="961" t="s">
        <v>148</v>
      </c>
      <c r="E23" s="961" t="s">
        <v>148</v>
      </c>
      <c r="F23" s="961" t="s">
        <v>148</v>
      </c>
    </row>
    <row r="24" spans="1:9" ht="20.399999999999999" customHeight="1" x14ac:dyDescent="0.3">
      <c r="A24" s="749" t="s">
        <v>289</v>
      </c>
      <c r="B24" s="692">
        <f>'Custmr metrics'!B21</f>
        <v>61.605678481307159</v>
      </c>
      <c r="C24" s="692">
        <f>'Custmr metrics'!C21</f>
        <v>1.6473356568182043</v>
      </c>
      <c r="D24" s="692">
        <f>'Custmr metrics'!D21</f>
        <v>1.9993176208606893</v>
      </c>
      <c r="E24" s="692">
        <f>'Custmr metrics'!E21</f>
        <v>2.1155490154852385</v>
      </c>
      <c r="F24" s="692">
        <f>'Custmr metrics'!F21</f>
        <v>2.0882042556774434</v>
      </c>
    </row>
    <row r="25" spans="1:9" ht="20.399999999999999" customHeight="1" x14ac:dyDescent="0.3">
      <c r="A25" s="749" t="s">
        <v>96</v>
      </c>
      <c r="B25" s="692">
        <f>'Custmr metrics'!B22</f>
        <v>546.78600754310389</v>
      </c>
      <c r="C25" s="692">
        <f>'Custmr metrics'!C22</f>
        <v>585.24140855385099</v>
      </c>
      <c r="D25" s="692">
        <f>'Custmr metrics'!D22</f>
        <v>670.93230734657573</v>
      </c>
      <c r="E25" s="692">
        <f>'Custmr metrics'!E22</f>
        <v>775.38534603157723</v>
      </c>
      <c r="F25" s="692">
        <f>'Custmr metrics'!F22</f>
        <v>905.01085905140758</v>
      </c>
    </row>
    <row r="26" spans="1:9" ht="20.399999999999999" customHeight="1" x14ac:dyDescent="0.3">
      <c r="A26" s="749" t="s">
        <v>97</v>
      </c>
      <c r="B26" s="692">
        <f>'Custmr metrics'!B23</f>
        <v>868.66115887740978</v>
      </c>
      <c r="C26" s="692">
        <f>'Custmr metrics'!C23</f>
        <v>1394.1797419037778</v>
      </c>
      <c r="D26" s="692">
        <f>'Custmr metrics'!D23</f>
        <v>1648.262536132898</v>
      </c>
      <c r="E26" s="692">
        <f>'Custmr metrics'!E23</f>
        <v>1910.8410692715752</v>
      </c>
      <c r="F26" s="692">
        <f>'Custmr metrics'!F23</f>
        <v>2238.8651050772919</v>
      </c>
    </row>
    <row r="27" spans="1:9" ht="33" customHeight="1" x14ac:dyDescent="0.3">
      <c r="A27" s="733" t="s">
        <v>393</v>
      </c>
      <c r="B27" s="963" t="s">
        <v>148</v>
      </c>
      <c r="C27" s="963" t="s">
        <v>148</v>
      </c>
      <c r="D27" s="963" t="s">
        <v>148</v>
      </c>
      <c r="E27" s="963" t="s">
        <v>148</v>
      </c>
      <c r="F27" s="963" t="s">
        <v>148</v>
      </c>
    </row>
    <row r="28" spans="1:9" ht="20.399999999999999" customHeight="1" x14ac:dyDescent="0.3">
      <c r="A28" s="749" t="s">
        <v>95</v>
      </c>
      <c r="B28" s="692">
        <f>'Custmr metrics'!B25</f>
        <v>9.8685676578644816</v>
      </c>
      <c r="C28" s="692">
        <f>'Custmr metrics'!C25</f>
        <v>7.7824028716847859</v>
      </c>
      <c r="D28" s="692">
        <f>'Custmr metrics'!D25</f>
        <v>7.9663240157480883</v>
      </c>
      <c r="E28" s="692">
        <f>'Custmr metrics'!E25</f>
        <v>8.1591235060268179</v>
      </c>
      <c r="F28" s="692">
        <f>'Custmr metrics'!F25</f>
        <v>8.3614559027347166</v>
      </c>
    </row>
    <row r="29" spans="1:9" ht="20.399999999999999" customHeight="1" x14ac:dyDescent="0.3">
      <c r="A29" s="749" t="s">
        <v>96</v>
      </c>
      <c r="B29" s="692">
        <f>'Custmr metrics'!B26</f>
        <v>111.0213861509754</v>
      </c>
      <c r="C29" s="692">
        <f>'Custmr metrics'!C26</f>
        <v>76.094605856473478</v>
      </c>
      <c r="D29" s="692">
        <f>'Custmr metrics'!D26</f>
        <v>68.510386535433554</v>
      </c>
      <c r="E29" s="692">
        <f>'Custmr metrics'!E26</f>
        <v>62.306034046022972</v>
      </c>
      <c r="F29" s="692">
        <f>'Custmr metrics'!F26</f>
        <v>57.136615335353895</v>
      </c>
    </row>
    <row r="30" spans="1:9" ht="20.399999999999999" customHeight="1" x14ac:dyDescent="0.3">
      <c r="A30" s="749" t="s">
        <v>97</v>
      </c>
      <c r="B30" s="692">
        <f>'Custmr metrics'!B27</f>
        <v>444.08554460390161</v>
      </c>
      <c r="C30" s="692">
        <f>'Custmr metrics'!C27</f>
        <v>228.28381756942042</v>
      </c>
      <c r="D30" s="692">
        <f>'Custmr metrics'!D27</f>
        <v>171.27596633858388</v>
      </c>
      <c r="E30" s="692">
        <f>'Custmr metrics'!E27</f>
        <v>137.07327490125056</v>
      </c>
      <c r="F30" s="692">
        <f>'Custmr metrics'!F27</f>
        <v>114.27323067070779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99E9B-B3FB-4F65-A18C-F33623223E9A}">
  <dimension ref="A1:I17"/>
  <sheetViews>
    <sheetView workbookViewId="0">
      <selection activeCell="A12" sqref="A12"/>
    </sheetView>
  </sheetViews>
  <sheetFormatPr defaultRowHeight="20.399999999999999" customHeight="1" x14ac:dyDescent="0.3"/>
  <cols>
    <col min="1" max="1" width="49.44140625" style="16" customWidth="1"/>
    <col min="2" max="6" width="11" style="16" customWidth="1"/>
    <col min="7" max="16384" width="8.88671875" style="16"/>
  </cols>
  <sheetData>
    <row r="1" spans="1:9" ht="20.399999999999999" customHeight="1" x14ac:dyDescent="0.3">
      <c r="A1" s="487" t="s">
        <v>87</v>
      </c>
    </row>
    <row r="3" spans="1:9" ht="20.399999999999999" customHeight="1" x14ac:dyDescent="0.3">
      <c r="A3" s="396" t="s">
        <v>83</v>
      </c>
      <c r="B3" s="686" t="s">
        <v>2</v>
      </c>
      <c r="C3" s="686" t="s">
        <v>3</v>
      </c>
      <c r="D3" s="93" t="s">
        <v>4</v>
      </c>
      <c r="E3" s="93" t="s">
        <v>146</v>
      </c>
      <c r="F3" s="93" t="s">
        <v>147</v>
      </c>
    </row>
    <row r="4" spans="1:9" ht="20.399999999999999" customHeight="1" x14ac:dyDescent="0.3">
      <c r="A4" s="80" t="s">
        <v>295</v>
      </c>
      <c r="B4" s="688">
        <f>'P&amp;L'!D51/(('Bal Sheet'!F19+'Bal Sheet'!D19)/2)</f>
        <v>-0.89363348072919879</v>
      </c>
      <c r="C4" s="688">
        <f>'P&amp;L'!F51/(('Bal Sheet'!G19+'Bal Sheet'!F19)/2)</f>
        <v>0.95485398473808047</v>
      </c>
      <c r="D4" s="688">
        <f>'P&amp;L'!H51/(('Bal Sheet'!H19+'Bal Sheet'!G19)/2)</f>
        <v>1.1435919075457226</v>
      </c>
      <c r="E4" s="688">
        <f>'P&amp;L'!J51/(('Bal Sheet'!I19+'Bal Sheet'!H19)/2)</f>
        <v>0.90378179236335199</v>
      </c>
      <c r="F4" s="688">
        <f>'P&amp;L'!L51/(('Bal Sheet'!J19+'Bal Sheet'!I19)/2)</f>
        <v>0.72762685233740743</v>
      </c>
    </row>
    <row r="5" spans="1:9" ht="20.399999999999999" customHeight="1" x14ac:dyDescent="0.3">
      <c r="A5" s="80" t="s">
        <v>294</v>
      </c>
      <c r="B5" s="688">
        <f>'P&amp;L'!D51/('Bal Sheet'!$D$22+'Bal Sheet'!$D$23)</f>
        <v>-0.53338773980451792</v>
      </c>
      <c r="C5" s="688">
        <f>'P&amp;L'!F51/('Bal Sheet'!$D$22+'Bal Sheet'!$D$23)</f>
        <v>0.60331290879374355</v>
      </c>
      <c r="D5" s="688">
        <f>'P&amp;L'!H51/('Bal Sheet'!$D$22+'Bal Sheet'!$D$23)</f>
        <v>2.4930557420531692</v>
      </c>
      <c r="E5" s="688">
        <f>'P&amp;L'!J51/('Bal Sheet'!$D$22+'Bal Sheet'!$D$23)</f>
        <v>5.6500677328145592</v>
      </c>
      <c r="F5" s="688">
        <f>'P&amp;L'!L51/('Bal Sheet'!$D$22+'Bal Sheet'!$D$23)</f>
        <v>10.381216944068708</v>
      </c>
    </row>
    <row r="6" spans="1:9" ht="20.399999999999999" customHeight="1" x14ac:dyDescent="0.3">
      <c r="A6" s="80" t="s">
        <v>297</v>
      </c>
      <c r="B6" s="688">
        <f>'P&amp;L'!D51/(('Bal Sheet'!F12+'Bal Sheet'!D12)/2)</f>
        <v>-0.88158014826838893</v>
      </c>
      <c r="C6" s="688">
        <f>'P&amp;L'!F51/(('Bal Sheet'!G12+'Bal Sheet'!F12)/2)</f>
        <v>0.81669862789560033</v>
      </c>
      <c r="D6" s="688">
        <f>'P&amp;L'!H51/(('Bal Sheet'!H12+'Bal Sheet'!G12)/2)</f>
        <v>0.93801955333511244</v>
      </c>
      <c r="E6" s="689">
        <f>'P&amp;L'!J51/(('Bal Sheet'!I12+'Bal Sheet'!H12)/2)</f>
        <v>0.75558465378380946</v>
      </c>
      <c r="F6" s="689">
        <f>'P&amp;L'!L51/(('Bal Sheet'!J12+'Bal Sheet'!I12)/2)</f>
        <v>0.62301913019384825</v>
      </c>
      <c r="I6" s="688"/>
    </row>
    <row r="7" spans="1:9" ht="20.399999999999999" customHeight="1" x14ac:dyDescent="0.3">
      <c r="A7" s="80" t="s">
        <v>88</v>
      </c>
      <c r="B7" s="689">
        <f>'P&amp;L'!E16</f>
        <v>0.94337879821834547</v>
      </c>
      <c r="C7" s="688">
        <f>'P&amp;L'!G16</f>
        <v>0.97870486623747188</v>
      </c>
      <c r="D7" s="688">
        <f>'P&amp;L'!I16</f>
        <v>0.98891968020054577</v>
      </c>
      <c r="E7" s="688">
        <f>'P&amp;L'!K16</f>
        <v>0.99342230789582475</v>
      </c>
      <c r="F7" s="688">
        <f>'P&amp;L'!M16</f>
        <v>0.99578365553399784</v>
      </c>
    </row>
    <row r="8" spans="1:9" ht="20.399999999999999" customHeight="1" x14ac:dyDescent="0.3">
      <c r="A8" s="80" t="s">
        <v>89</v>
      </c>
      <c r="B8" s="689">
        <f>'P&amp;L'!D34/'P&amp;L'!D9</f>
        <v>-0.70689840484431665</v>
      </c>
      <c r="C8" s="689">
        <f>'P&amp;L'!F34/'P&amp;L'!F9</f>
        <v>0.39018054152656156</v>
      </c>
      <c r="D8" s="689">
        <f>'P&amp;L'!H34/'P&amp;L'!H9</f>
        <v>0.71512294035654989</v>
      </c>
      <c r="E8" s="689">
        <f>'P&amp;L'!J34/'P&amp;L'!J9</f>
        <v>0.8456128291957179</v>
      </c>
      <c r="F8" s="689">
        <f>'P&amp;L'!L34/'P&amp;L'!L9</f>
        <v>0.9066678494568392</v>
      </c>
    </row>
    <row r="9" spans="1:9" ht="20.399999999999999" customHeight="1" x14ac:dyDescent="0.3">
      <c r="A9" s="80" t="s">
        <v>149</v>
      </c>
      <c r="B9" s="689">
        <f>'P&amp;L'!D51/'P&amp;L'!D9</f>
        <v>-0.70689840484431665</v>
      </c>
      <c r="C9" s="689">
        <f>'P&amp;L'!F51/'P&amp;L'!F9</f>
        <v>0.3088837397735279</v>
      </c>
      <c r="D9" s="689">
        <f>'P&amp;L'!H51/'P&amp;L'!H9</f>
        <v>0.57601725209039145</v>
      </c>
      <c r="E9" s="689">
        <f>'P&amp;L'!J51/'P&amp;L'!J9</f>
        <v>0.68325462265305725</v>
      </c>
      <c r="F9" s="689">
        <f>'P&amp;L'!L51/'P&amp;L'!L9</f>
        <v>0.73341260470751868</v>
      </c>
    </row>
    <row r="10" spans="1:9" ht="20.399999999999999" customHeight="1" x14ac:dyDescent="0.3">
      <c r="B10" s="30"/>
      <c r="C10" s="30"/>
      <c r="D10" s="30"/>
      <c r="E10" s="30"/>
    </row>
    <row r="11" spans="1:9" ht="20.399999999999999" customHeight="1" x14ac:dyDescent="0.3">
      <c r="A11" s="396" t="s">
        <v>84</v>
      </c>
      <c r="B11" s="686" t="s">
        <v>2</v>
      </c>
      <c r="C11" s="686" t="s">
        <v>3</v>
      </c>
      <c r="D11" s="686" t="s">
        <v>4</v>
      </c>
      <c r="E11" s="93" t="s">
        <v>146</v>
      </c>
      <c r="F11" s="93" t="s">
        <v>147</v>
      </c>
    </row>
    <row r="12" spans="1:9" ht="20.399999999999999" customHeight="1" x14ac:dyDescent="0.3">
      <c r="A12" s="80" t="s">
        <v>85</v>
      </c>
      <c r="B12" s="690">
        <f>'Bal Sheet'!F10/'Bal Sheet'!F17</f>
        <v>21.229898313789732</v>
      </c>
      <c r="C12" s="690">
        <f>'Bal Sheet'!G10/'Bal Sheet'!G17</f>
        <v>5.3779508198988122</v>
      </c>
      <c r="D12" s="690">
        <f>'Bal Sheet'!H10/'Bal Sheet'!H17</f>
        <v>5.4516724873510176</v>
      </c>
      <c r="E12" s="690">
        <f>'Bal Sheet'!I10/'Bal Sheet'!I17</f>
        <v>6.3369659380796692</v>
      </c>
      <c r="F12" s="690">
        <f>'Bal Sheet'!J10/'Bal Sheet'!J17</f>
        <v>7.2775724672346929</v>
      </c>
    </row>
    <row r="13" spans="1:9" ht="20.399999999999999" customHeight="1" x14ac:dyDescent="0.3">
      <c r="A13" s="80" t="s">
        <v>300</v>
      </c>
      <c r="B13" s="690">
        <f>'Bal Sheet'!F8/'Bal Sheet'!F17</f>
        <v>21.229898313789732</v>
      </c>
      <c r="C13" s="690">
        <f>'Bal Sheet'!G8/'Bal Sheet'!G17</f>
        <v>5.3779508198988122</v>
      </c>
      <c r="D13" s="690">
        <f>'Bal Sheet'!H8/'Bal Sheet'!H17</f>
        <v>5.4516724873510176</v>
      </c>
      <c r="E13" s="690">
        <f>'Bal Sheet'!I8/'Bal Sheet'!I17</f>
        <v>6.3369659380796692</v>
      </c>
      <c r="F13" s="690">
        <f>'Bal Sheet'!J8/'Bal Sheet'!J17</f>
        <v>7.2775724672346929</v>
      </c>
    </row>
    <row r="14" spans="1:9" ht="20.399999999999999" customHeight="1" x14ac:dyDescent="0.3">
      <c r="A14" s="80" t="s">
        <v>301</v>
      </c>
      <c r="B14" s="690">
        <f>('Cash flow 5yrs'!D7+'Cash flow 5yrs'!D8+'Cash flow 5yrs'!D15+'Cash flow 5yrs'!D16+'Cash flow 5yrs'!D17+'Cash flow 5yrs'!D18+'Cash flow 5yrs'!D19)/'Bal Sheet'!F17</f>
        <v>-31.680154596263176</v>
      </c>
      <c r="C14" s="690">
        <f>('Cash flow 5yrs'!E7+'Cash flow 5yrs'!E8+'Cash flow 5yrs'!E15+'Cash flow 5yrs'!E16+'Cash flow 5yrs'!E17+'Cash flow 5yrs'!E18+'Cash flow 5yrs'!E19)/'Bal Sheet'!G17</f>
        <v>4.0603957239062689</v>
      </c>
      <c r="D14" s="690">
        <f>('Cash flow 5yrs'!F7+'Cash flow 5yrs'!F8+'Cash flow 5yrs'!F15+'Cash flow 5yrs'!F16+'Cash flow 5yrs'!F17+'Cash flow 5yrs'!F18+'Cash flow 5yrs'!F19)/'Bal Sheet'!H17</f>
        <v>4.0509614997266583</v>
      </c>
      <c r="E14" s="690">
        <f>('Cash flow 5yrs'!G7+'Cash flow 5yrs'!G8+'Cash flow 5yrs'!G15+'Cash flow 5yrs'!G16+'Cash flow 5yrs'!G17+'Cash flow 5yrs'!G18+'Cash flow 5yrs'!G19)/'Bal Sheet'!I17</f>
        <v>3.8976240687688195</v>
      </c>
      <c r="F14" s="690">
        <f>('Cash flow 5yrs'!H7+'Cash flow 5yrs'!H8+'Cash flow 5yrs'!H15+'Cash flow 5yrs'!H16+'Cash flow 5yrs'!H17+'Cash flow 5yrs'!H18+'Cash flow 5yrs'!H19)/'Bal Sheet'!J17</f>
        <v>3.810699431651781</v>
      </c>
    </row>
    <row r="15" spans="1:9" ht="20.399999999999999" customHeight="1" x14ac:dyDescent="0.3">
      <c r="B15" s="691"/>
      <c r="C15" s="691"/>
      <c r="D15" s="691"/>
      <c r="E15" s="691"/>
      <c r="F15" s="29"/>
    </row>
    <row r="16" spans="1:9" ht="20.399999999999999" customHeight="1" x14ac:dyDescent="0.3">
      <c r="A16" s="396" t="s">
        <v>86</v>
      </c>
      <c r="B16" s="686" t="s">
        <v>2</v>
      </c>
      <c r="C16" s="686" t="s">
        <v>3</v>
      </c>
      <c r="D16" s="686" t="s">
        <v>4</v>
      </c>
      <c r="E16" s="93" t="s">
        <v>146</v>
      </c>
      <c r="F16" s="93" t="s">
        <v>147</v>
      </c>
    </row>
    <row r="17" spans="1:6" ht="20.399999999999999" customHeight="1" x14ac:dyDescent="0.3">
      <c r="A17" s="80" t="s">
        <v>302</v>
      </c>
      <c r="B17" s="688">
        <f>'P&amp;L'!D9/(('Bal Sheet'!F12+'Bal Sheet'!D12)/2)</f>
        <v>1.2471101111941867</v>
      </c>
      <c r="C17" s="688">
        <f>'P&amp;L'!F9/(('Bal Sheet'!G12+'Bal Sheet'!F12)/2)</f>
        <v>2.6440324391772769</v>
      </c>
      <c r="D17" s="688">
        <f>'P&amp;L'!H9/(('Bal Sheet'!H12+'Bal Sheet'!G12)/2)</f>
        <v>1.6284573941683154</v>
      </c>
      <c r="E17" s="688">
        <f>'P&amp;L'!J9/(('Bal Sheet'!I12+'Bal Sheet'!H12)/2)</f>
        <v>1.1058610197906849</v>
      </c>
      <c r="F17" s="688">
        <f>'P&amp;L'!L9/(('Bal Sheet'!J12+'Bal Sheet'!I12)/2)</f>
        <v>0.84947971468571259</v>
      </c>
    </row>
  </sheetData>
  <pageMargins left="0.7" right="0.7" top="0.75" bottom="0.75" header="0.3" footer="0.3"/>
  <pageSetup paperSize="9" orientation="portrait" horizontalDpi="4294967293" verticalDpi="36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59C79-EDBF-4722-A091-A3627B3FC4E6}">
  <dimension ref="A1:J21"/>
  <sheetViews>
    <sheetView workbookViewId="0">
      <pane ySplit="2" topLeftCell="A3" activePane="bottomLeft" state="frozen"/>
      <selection pane="bottomLeft" activeCell="I10" sqref="I10"/>
    </sheetView>
  </sheetViews>
  <sheetFormatPr defaultRowHeight="18.600000000000001" customHeight="1" x14ac:dyDescent="0.3"/>
  <cols>
    <col min="1" max="1" width="17.88671875" style="31" customWidth="1"/>
    <col min="2" max="2" width="14.44140625" style="31" customWidth="1"/>
    <col min="3" max="3" width="12.88671875" style="31" customWidth="1"/>
    <col min="4" max="4" width="17.44140625" style="31" customWidth="1"/>
    <col min="5" max="5" width="9.21875" style="31" customWidth="1"/>
    <col min="6" max="6" width="5.77734375" style="31" customWidth="1"/>
    <col min="7" max="7" width="13.33203125" style="31" customWidth="1"/>
    <col min="8" max="8" width="8.109375" style="31" customWidth="1"/>
    <col min="9" max="9" width="14.5546875" style="31" customWidth="1"/>
    <col min="10" max="10" width="8.88671875" style="224"/>
    <col min="11" max="16384" width="8.88671875" style="31"/>
  </cols>
  <sheetData>
    <row r="1" spans="1:10" ht="18.600000000000001" customHeight="1" x14ac:dyDescent="0.3">
      <c r="A1" s="213" t="s">
        <v>150</v>
      </c>
    </row>
    <row r="2" spans="1:10" ht="18.600000000000001" customHeight="1" x14ac:dyDescent="0.3">
      <c r="A2" s="31" t="s">
        <v>151</v>
      </c>
      <c r="C2" s="750" t="s">
        <v>154</v>
      </c>
      <c r="D2" s="216">
        <v>0.3</v>
      </c>
      <c r="F2" s="8" t="s">
        <v>159</v>
      </c>
      <c r="G2" s="216">
        <v>0.02</v>
      </c>
      <c r="J2" s="216"/>
    </row>
    <row r="3" spans="1:10" ht="18.600000000000001" customHeight="1" x14ac:dyDescent="0.3">
      <c r="E3" s="217"/>
    </row>
    <row r="4" spans="1:10" s="36" customFormat="1" ht="30.6" customHeight="1" x14ac:dyDescent="0.3">
      <c r="A4" s="223" t="s">
        <v>153</v>
      </c>
      <c r="B4" s="223" t="s">
        <v>152</v>
      </c>
      <c r="C4" s="36" t="s">
        <v>156</v>
      </c>
      <c r="D4" s="223" t="s">
        <v>155</v>
      </c>
    </row>
    <row r="5" spans="1:10" ht="18.600000000000001" customHeight="1" x14ac:dyDescent="0.3">
      <c r="A5" s="8" t="s">
        <v>38</v>
      </c>
      <c r="B5" s="215">
        <f>'Cash flow 5yrs'!D22</f>
        <v>-47900.393749549912</v>
      </c>
      <c r="C5" s="218">
        <f>1+D2</f>
        <v>1.3</v>
      </c>
      <c r="D5" s="215">
        <f>B5/C5</f>
        <v>-36846.456730423008</v>
      </c>
    </row>
    <row r="6" spans="1:10" ht="18.600000000000001" customHeight="1" x14ac:dyDescent="0.3">
      <c r="A6" s="8" t="s">
        <v>39</v>
      </c>
      <c r="B6" s="215">
        <f>'Cash flow 5yrs'!E22</f>
        <v>66269.332997749734</v>
      </c>
      <c r="C6" s="218">
        <f>POWER(C5,2)</f>
        <v>1.6900000000000002</v>
      </c>
      <c r="D6" s="215">
        <f t="shared" ref="D6:D9" si="0">B6/C6</f>
        <v>39212.623075591553</v>
      </c>
    </row>
    <row r="7" spans="1:10" ht="18.600000000000001" customHeight="1" x14ac:dyDescent="0.3">
      <c r="A7" s="8" t="s">
        <v>40</v>
      </c>
      <c r="B7" s="215">
        <f>'Cash flow 5yrs'!F22</f>
        <v>284490.36895130971</v>
      </c>
      <c r="C7" s="218">
        <f>POWER(C5,3)</f>
        <v>2.1970000000000005</v>
      </c>
      <c r="D7" s="215">
        <f t="shared" si="0"/>
        <v>129490.38186222559</v>
      </c>
    </row>
    <row r="8" spans="1:10" ht="18.600000000000001" customHeight="1" x14ac:dyDescent="0.3">
      <c r="A8" s="8" t="s">
        <v>141</v>
      </c>
      <c r="B8" s="215">
        <f>'Cash flow 5yrs'!G22</f>
        <v>611739.45044946414</v>
      </c>
      <c r="C8" s="218">
        <f>POWER(C5,4)</f>
        <v>2.8561000000000005</v>
      </c>
      <c r="D8" s="215">
        <f t="shared" si="0"/>
        <v>214186.98590716854</v>
      </c>
      <c r="J8" s="216"/>
    </row>
    <row r="9" spans="1:10" ht="18.600000000000001" customHeight="1" x14ac:dyDescent="0.3">
      <c r="A9" s="8" t="s">
        <v>145</v>
      </c>
      <c r="B9" s="215">
        <f>'Cash flow 5yrs'!H22</f>
        <v>1093237.8790352643</v>
      </c>
      <c r="C9" s="218">
        <f>POWER(C5,5)</f>
        <v>3.712930000000001</v>
      </c>
      <c r="D9" s="219">
        <f t="shared" si="0"/>
        <v>294440.74599716772</v>
      </c>
      <c r="J9" s="216"/>
    </row>
    <row r="10" spans="1:10" s="214" customFormat="1" ht="18.600000000000001" customHeight="1" x14ac:dyDescent="0.3">
      <c r="A10" s="8" t="s">
        <v>26</v>
      </c>
      <c r="B10" s="34"/>
      <c r="C10" s="220"/>
      <c r="D10" s="215">
        <f>SUM(D5:D9)</f>
        <v>640484.28011173033</v>
      </c>
      <c r="J10" s="4"/>
    </row>
    <row r="11" spans="1:10" ht="14.4" customHeight="1" x14ac:dyDescent="0.3">
      <c r="A11" s="8"/>
      <c r="B11" s="215"/>
      <c r="C11" s="218"/>
      <c r="D11" s="215"/>
    </row>
    <row r="12" spans="1:10" ht="18.600000000000001" customHeight="1" x14ac:dyDescent="0.3">
      <c r="A12" s="8" t="s">
        <v>160</v>
      </c>
      <c r="B12" s="215">
        <f>(B9*(1+G2))/(D2-G2)</f>
        <v>3982509.4164856058</v>
      </c>
      <c r="C12" s="218">
        <f>C9</f>
        <v>3.712930000000001</v>
      </c>
      <c r="D12" s="215">
        <f t="shared" ref="D12" si="1">B12/C12</f>
        <v>1072605.5747039681</v>
      </c>
      <c r="I12" s="225"/>
    </row>
    <row r="13" spans="1:10" ht="14.4" customHeight="1" x14ac:dyDescent="0.3">
      <c r="A13" s="8"/>
      <c r="B13" s="215"/>
      <c r="C13" s="218"/>
      <c r="D13" s="215"/>
    </row>
    <row r="14" spans="1:10" ht="25.2" customHeight="1" x14ac:dyDescent="0.3">
      <c r="A14" s="744" t="s">
        <v>161</v>
      </c>
      <c r="C14" s="218"/>
      <c r="D14" s="34">
        <f>D10+D12</f>
        <v>1713089.8548156985</v>
      </c>
    </row>
    <row r="15" spans="1:10" ht="14.4" customHeight="1" x14ac:dyDescent="0.3">
      <c r="B15" s="215"/>
      <c r="C15" s="218"/>
      <c r="D15" s="215"/>
    </row>
    <row r="16" spans="1:10" ht="14.4" customHeight="1" x14ac:dyDescent="0.3">
      <c r="B16" s="215"/>
      <c r="C16" s="218"/>
      <c r="D16" s="215"/>
    </row>
    <row r="17" spans="1:4" ht="18.600000000000001" customHeight="1" x14ac:dyDescent="0.3">
      <c r="A17" s="221" t="s">
        <v>157</v>
      </c>
      <c r="B17" s="218"/>
      <c r="D17" s="222">
        <f>D14-'Cash flow 1st yr'!B9</f>
        <v>1633089.8548156985</v>
      </c>
    </row>
    <row r="19" spans="1:4" ht="18.600000000000001" customHeight="1" x14ac:dyDescent="0.3">
      <c r="A19" s="221" t="s">
        <v>158</v>
      </c>
      <c r="D19" s="222">
        <f>D14</f>
        <v>1713089.8548156985</v>
      </c>
    </row>
    <row r="20" spans="1:4" ht="18.600000000000001" customHeight="1" x14ac:dyDescent="0.3">
      <c r="B20" s="215"/>
    </row>
    <row r="21" spans="1:4" ht="18.600000000000001" customHeight="1" x14ac:dyDescent="0.3">
      <c r="B21" s="2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7D11D-C169-4AAD-81CA-827AF5893F2D}">
  <dimension ref="A1:BK78"/>
  <sheetViews>
    <sheetView topLeftCell="A6" workbookViewId="0">
      <pane xSplit="2" topLeftCell="C1" activePane="topRight" state="frozen"/>
      <selection activeCell="A7" sqref="A7"/>
      <selection pane="topRight" activeCell="C62" sqref="C62"/>
    </sheetView>
  </sheetViews>
  <sheetFormatPr defaultRowHeight="13.8" x14ac:dyDescent="0.3"/>
  <cols>
    <col min="1" max="1" width="54.77734375" style="10" customWidth="1"/>
    <col min="2" max="2" width="9.77734375" style="10" customWidth="1"/>
    <col min="3" max="3" width="8.109375" style="10" customWidth="1"/>
    <col min="4" max="4" width="9.88671875" style="10" customWidth="1"/>
    <col min="5" max="5" width="9.21875" style="10" customWidth="1"/>
    <col min="6" max="6" width="8.33203125" style="10" customWidth="1"/>
    <col min="7" max="8" width="8.109375" style="10" customWidth="1"/>
    <col min="9" max="9" width="7.33203125" style="10" customWidth="1"/>
    <col min="10" max="10" width="8.77734375" style="10" customWidth="1"/>
    <col min="11" max="12" width="8.109375" style="10" customWidth="1"/>
    <col min="13" max="13" width="7.33203125" style="10" customWidth="1"/>
    <col min="14" max="14" width="8.77734375" style="10" customWidth="1"/>
    <col min="15" max="16" width="8.109375" style="10" customWidth="1"/>
    <col min="17" max="17" width="7.33203125" style="10" customWidth="1"/>
    <col min="18" max="18" width="8.77734375" style="10" customWidth="1"/>
    <col min="19" max="20" width="8.109375" style="10" customWidth="1"/>
    <col min="21" max="21" width="7.33203125" style="10" customWidth="1"/>
    <col min="22" max="22" width="8.77734375" style="10" customWidth="1"/>
    <col min="23" max="60" width="8.5546875" style="10" customWidth="1"/>
    <col min="61" max="16384" width="8.88671875" style="10"/>
  </cols>
  <sheetData>
    <row r="1" spans="1:5" ht="28.2" customHeight="1" x14ac:dyDescent="0.3">
      <c r="A1" s="487" t="s">
        <v>326</v>
      </c>
    </row>
    <row r="2" spans="1:5" ht="25.2" customHeight="1" x14ac:dyDescent="0.3">
      <c r="A2" s="10" t="s">
        <v>162</v>
      </c>
    </row>
    <row r="3" spans="1:5" ht="13.2" customHeight="1" x14ac:dyDescent="0.3">
      <c r="A3" s="487"/>
      <c r="B3" s="912"/>
    </row>
    <row r="4" spans="1:5" s="916" customFormat="1" ht="25.2" customHeight="1" x14ac:dyDescent="0.3">
      <c r="A4" s="913" t="s">
        <v>177</v>
      </c>
      <c r="B4" s="914" t="s">
        <v>325</v>
      </c>
      <c r="C4" s="915"/>
      <c r="D4" s="914" t="s">
        <v>333</v>
      </c>
      <c r="E4" s="915" t="s">
        <v>0</v>
      </c>
    </row>
    <row r="5" spans="1:5" ht="23.4" customHeight="1" x14ac:dyDescent="0.3">
      <c r="A5" s="10" t="s">
        <v>138</v>
      </c>
      <c r="B5" s="917">
        <v>0</v>
      </c>
      <c r="C5" s="917"/>
      <c r="D5" s="917"/>
    </row>
    <row r="6" spans="1:5" ht="31.2" customHeight="1" x14ac:dyDescent="0.3">
      <c r="A6" s="10" t="s">
        <v>371</v>
      </c>
      <c r="B6" s="917">
        <v>8000</v>
      </c>
      <c r="C6" s="917"/>
      <c r="D6" s="917"/>
    </row>
    <row r="7" spans="1:5" ht="19.8" customHeight="1" x14ac:dyDescent="0.3">
      <c r="A7" s="447"/>
      <c r="B7" s="917"/>
      <c r="C7" s="917"/>
      <c r="D7" s="917"/>
    </row>
    <row r="8" spans="1:5" ht="20.399999999999999" customHeight="1" x14ac:dyDescent="0.3">
      <c r="B8" s="917"/>
      <c r="C8" s="917"/>
      <c r="D8" s="917"/>
    </row>
    <row r="9" spans="1:5" s="916" customFormat="1" ht="29.4" customHeight="1" x14ac:dyDescent="0.3">
      <c r="A9" s="913" t="s">
        <v>176</v>
      </c>
      <c r="B9" s="914" t="s">
        <v>325</v>
      </c>
      <c r="C9" s="915"/>
      <c r="D9" s="914" t="s">
        <v>333</v>
      </c>
      <c r="E9" s="915" t="s">
        <v>0</v>
      </c>
    </row>
    <row r="10" spans="1:5" ht="19.8" customHeight="1" x14ac:dyDescent="0.3">
      <c r="A10" s="10" t="s">
        <v>168</v>
      </c>
      <c r="B10" s="917">
        <v>10</v>
      </c>
      <c r="C10" s="917"/>
      <c r="D10" s="917"/>
    </row>
    <row r="11" spans="1:5" ht="19.8" customHeight="1" x14ac:dyDescent="0.3">
      <c r="A11" s="10" t="s">
        <v>172</v>
      </c>
      <c r="B11" s="917">
        <f>D11*0.74517856</f>
        <v>223.55356800000001</v>
      </c>
      <c r="C11" s="917"/>
      <c r="D11" s="918">
        <f>25*12</f>
        <v>300</v>
      </c>
      <c r="E11" s="10" t="s">
        <v>334</v>
      </c>
    </row>
    <row r="12" spans="1:5" ht="19.8" customHeight="1" x14ac:dyDescent="0.3">
      <c r="A12" s="10" t="s">
        <v>170</v>
      </c>
      <c r="B12" s="917">
        <f>D12*0.74517856</f>
        <v>178.84285440000002</v>
      </c>
      <c r="C12" s="917"/>
      <c r="D12" s="918">
        <f>20*12</f>
        <v>240</v>
      </c>
      <c r="E12" s="10" t="s">
        <v>334</v>
      </c>
    </row>
    <row r="13" spans="1:5" ht="19.8" customHeight="1" x14ac:dyDescent="0.3">
      <c r="A13" s="10" t="s">
        <v>171</v>
      </c>
      <c r="B13" s="917">
        <f>D13*0.74517856</f>
        <v>357.68570880000004</v>
      </c>
      <c r="C13" s="917"/>
      <c r="D13" s="918">
        <f>40*12</f>
        <v>480</v>
      </c>
      <c r="E13" s="10" t="s">
        <v>334</v>
      </c>
    </row>
    <row r="14" spans="1:5" ht="19.8" customHeight="1" x14ac:dyDescent="0.3">
      <c r="A14" s="10" t="s">
        <v>164</v>
      </c>
      <c r="B14" s="917">
        <v>40</v>
      </c>
      <c r="C14" s="917"/>
      <c r="D14" s="917"/>
    </row>
    <row r="15" spans="1:5" ht="19.8" customHeight="1" x14ac:dyDescent="0.3">
      <c r="A15" s="10" t="s">
        <v>163</v>
      </c>
      <c r="B15" s="917">
        <v>600</v>
      </c>
      <c r="C15" s="917"/>
      <c r="D15" s="917"/>
    </row>
    <row r="16" spans="1:5" ht="19.8" customHeight="1" x14ac:dyDescent="0.3">
      <c r="A16" s="10" t="s">
        <v>175</v>
      </c>
      <c r="B16" s="917">
        <f>'Founder expnt'!B21*1.05</f>
        <v>1512</v>
      </c>
      <c r="C16" s="917"/>
      <c r="D16" s="917"/>
      <c r="E16" s="10" t="s">
        <v>179</v>
      </c>
    </row>
    <row r="17" spans="1:63" ht="19.8" customHeight="1" x14ac:dyDescent="0.3">
      <c r="A17" s="10" t="s">
        <v>169</v>
      </c>
      <c r="B17" s="917">
        <f>D17*0.86700073</f>
        <v>1334.9643740174999</v>
      </c>
      <c r="C17" s="917"/>
      <c r="D17" s="919">
        <f>Computs!K13*2.5</f>
        <v>1539.75</v>
      </c>
      <c r="E17" s="10" t="s">
        <v>335</v>
      </c>
    </row>
    <row r="18" spans="1:63" ht="19.8" customHeight="1" x14ac:dyDescent="0.3">
      <c r="A18" s="10" t="s">
        <v>173</v>
      </c>
      <c r="B18" s="917">
        <f>Computs!T8</f>
        <v>2623.1312702540567</v>
      </c>
      <c r="C18" s="917"/>
      <c r="D18" s="917"/>
    </row>
    <row r="19" spans="1:63" ht="19.8" customHeight="1" x14ac:dyDescent="0.3">
      <c r="A19" s="10" t="s">
        <v>91</v>
      </c>
      <c r="B19" s="917">
        <f>18*12</f>
        <v>216</v>
      </c>
      <c r="C19" s="917"/>
    </row>
    <row r="20" spans="1:63" ht="19.8" customHeight="1" x14ac:dyDescent="0.3">
      <c r="A20" s="10" t="s">
        <v>124</v>
      </c>
      <c r="B20" s="917">
        <f>D20*0.86700073</f>
        <v>216.75018249999999</v>
      </c>
      <c r="C20" s="917"/>
      <c r="D20" s="919">
        <v>250</v>
      </c>
      <c r="E20" s="10" t="s">
        <v>335</v>
      </c>
    </row>
    <row r="21" spans="1:63" s="487" customFormat="1" ht="18.600000000000001" customHeight="1" x14ac:dyDescent="0.3">
      <c r="B21" s="912"/>
      <c r="C21" s="912"/>
      <c r="D21" s="912"/>
    </row>
    <row r="22" spans="1:63" x14ac:dyDescent="0.3">
      <c r="B22" s="917"/>
      <c r="C22" s="917"/>
      <c r="D22" s="917"/>
    </row>
    <row r="23" spans="1:63" s="487" customFormat="1" ht="25.2" customHeight="1" x14ac:dyDescent="0.3">
      <c r="A23" s="920" t="s">
        <v>324</v>
      </c>
      <c r="B23" s="912"/>
      <c r="C23" s="912"/>
      <c r="D23" s="912"/>
    </row>
    <row r="24" spans="1:63" x14ac:dyDescent="0.3">
      <c r="B24" s="917"/>
      <c r="C24" s="917"/>
      <c r="D24" s="917"/>
    </row>
    <row r="25" spans="1:63" s="923" customFormat="1" ht="24.6" customHeight="1" x14ac:dyDescent="0.3">
      <c r="A25" s="970" t="s">
        <v>362</v>
      </c>
      <c r="B25" s="970"/>
      <c r="C25" s="966" t="s">
        <v>8</v>
      </c>
      <c r="D25" s="967"/>
      <c r="E25" s="967"/>
      <c r="F25" s="968"/>
      <c r="G25" s="966" t="s">
        <v>9</v>
      </c>
      <c r="H25" s="967"/>
      <c r="I25" s="967"/>
      <c r="J25" s="967"/>
      <c r="K25" s="968"/>
      <c r="L25" s="966" t="s">
        <v>10</v>
      </c>
      <c r="M25" s="967"/>
      <c r="N25" s="967"/>
      <c r="O25" s="967"/>
      <c r="P25" s="968"/>
      <c r="Q25" s="966" t="s">
        <v>11</v>
      </c>
      <c r="R25" s="967"/>
      <c r="S25" s="967"/>
      <c r="T25" s="967"/>
      <c r="U25" s="968"/>
      <c r="V25" s="966" t="s">
        <v>12</v>
      </c>
      <c r="W25" s="967"/>
      <c r="X25" s="967"/>
      <c r="Y25" s="968"/>
      <c r="Z25" s="966" t="s">
        <v>13</v>
      </c>
      <c r="AA25" s="967"/>
      <c r="AB25" s="967"/>
      <c r="AC25" s="968"/>
      <c r="AD25" s="966" t="s">
        <v>14</v>
      </c>
      <c r="AE25" s="967"/>
      <c r="AF25" s="967"/>
      <c r="AG25" s="968"/>
      <c r="AH25" s="966" t="s">
        <v>15</v>
      </c>
      <c r="AI25" s="967"/>
      <c r="AJ25" s="967"/>
      <c r="AK25" s="968"/>
      <c r="AL25" s="966" t="s">
        <v>16</v>
      </c>
      <c r="AM25" s="967"/>
      <c r="AN25" s="967"/>
      <c r="AO25" s="968"/>
      <c r="AP25" s="966" t="s">
        <v>17</v>
      </c>
      <c r="AQ25" s="967"/>
      <c r="AR25" s="967"/>
      <c r="AS25" s="968"/>
      <c r="AT25" s="966" t="s">
        <v>18</v>
      </c>
      <c r="AU25" s="967"/>
      <c r="AV25" s="967"/>
      <c r="AW25" s="968"/>
      <c r="AX25" s="966" t="s">
        <v>19</v>
      </c>
      <c r="AY25" s="967"/>
      <c r="AZ25" s="967"/>
      <c r="BA25" s="968"/>
      <c r="BB25" s="874"/>
      <c r="BC25" s="969" t="s">
        <v>20</v>
      </c>
      <c r="BD25" s="969"/>
      <c r="BE25" s="874"/>
      <c r="BF25" s="874"/>
      <c r="BG25" s="921"/>
      <c r="BH25" s="874"/>
      <c r="BI25" s="874"/>
      <c r="BJ25" s="922"/>
      <c r="BK25" s="874"/>
    </row>
    <row r="26" spans="1:63" s="875" customFormat="1" ht="34.200000000000003" customHeight="1" x14ac:dyDescent="0.3">
      <c r="A26" s="970"/>
      <c r="B26" s="970"/>
      <c r="D26" s="924" t="s">
        <v>361</v>
      </c>
      <c r="E26" s="877" t="s">
        <v>360</v>
      </c>
      <c r="H26" s="924" t="s">
        <v>361</v>
      </c>
      <c r="I26" s="877" t="s">
        <v>360</v>
      </c>
      <c r="J26" s="877"/>
      <c r="M26" s="924" t="s">
        <v>361</v>
      </c>
      <c r="N26" s="924"/>
      <c r="O26" s="877" t="s">
        <v>360</v>
      </c>
      <c r="S26" s="924" t="s">
        <v>361</v>
      </c>
      <c r="T26" s="877" t="s">
        <v>360</v>
      </c>
      <c r="W26" s="924" t="s">
        <v>361</v>
      </c>
      <c r="X26" s="877" t="s">
        <v>360</v>
      </c>
      <c r="Y26" s="876"/>
      <c r="Z26" s="876"/>
      <c r="AA26" s="924" t="s">
        <v>361</v>
      </c>
      <c r="AB26" s="877" t="s">
        <v>360</v>
      </c>
      <c r="AC26" s="877"/>
      <c r="AD26" s="877"/>
      <c r="AE26" s="924" t="s">
        <v>361</v>
      </c>
      <c r="AF26" s="877" t="s">
        <v>360</v>
      </c>
      <c r="AG26" s="876"/>
      <c r="AH26" s="876"/>
      <c r="AI26" s="924" t="s">
        <v>361</v>
      </c>
      <c r="AJ26" s="877" t="s">
        <v>360</v>
      </c>
      <c r="AK26" s="876"/>
      <c r="AL26" s="876"/>
      <c r="AM26" s="924" t="s">
        <v>361</v>
      </c>
      <c r="AN26" s="877" t="s">
        <v>360</v>
      </c>
      <c r="AO26" s="876"/>
      <c r="AP26" s="876"/>
      <c r="AQ26" s="924" t="s">
        <v>361</v>
      </c>
      <c r="AR26" s="877" t="s">
        <v>360</v>
      </c>
      <c r="AS26" s="876"/>
      <c r="AT26" s="876"/>
      <c r="AU26" s="924" t="s">
        <v>361</v>
      </c>
      <c r="AV26" s="877" t="s">
        <v>360</v>
      </c>
      <c r="AW26" s="876"/>
      <c r="AX26" s="876"/>
      <c r="AY26" s="924" t="s">
        <v>361</v>
      </c>
      <c r="AZ26" s="877" t="s">
        <v>360</v>
      </c>
      <c r="BA26" s="876"/>
      <c r="BB26" s="876"/>
      <c r="BC26" s="924" t="s">
        <v>361</v>
      </c>
      <c r="BD26" s="877" t="s">
        <v>360</v>
      </c>
      <c r="BE26" s="876"/>
    </row>
    <row r="27" spans="1:63" s="929" customFormat="1" ht="18.600000000000001" customHeight="1" x14ac:dyDescent="0.3">
      <c r="A27" s="925" t="s">
        <v>338</v>
      </c>
      <c r="B27" s="926"/>
      <c r="C27" s="927"/>
      <c r="D27" s="878">
        <v>1000</v>
      </c>
      <c r="E27" s="928">
        <f>D27/D$34</f>
        <v>1</v>
      </c>
      <c r="F27" s="927"/>
      <c r="G27" s="927"/>
      <c r="H27" s="878">
        <v>1000</v>
      </c>
      <c r="I27" s="928">
        <f>H27/H$34</f>
        <v>1</v>
      </c>
      <c r="J27" s="928"/>
      <c r="K27" s="927"/>
      <c r="L27" s="927"/>
      <c r="M27" s="878">
        <v>1000</v>
      </c>
      <c r="N27" s="878"/>
      <c r="O27" s="928">
        <f>M27/M$34</f>
        <v>0.25</v>
      </c>
      <c r="P27" s="927"/>
      <c r="Q27" s="927"/>
      <c r="R27" s="927"/>
      <c r="S27" s="878">
        <v>800</v>
      </c>
      <c r="T27" s="928">
        <f>S27/S$34</f>
        <v>0.21052631578947367</v>
      </c>
      <c r="U27" s="927"/>
      <c r="V27" s="927"/>
      <c r="W27" s="878">
        <v>600</v>
      </c>
      <c r="X27" s="928">
        <f>W27/W$34</f>
        <v>0.1</v>
      </c>
      <c r="Y27" s="927"/>
      <c r="Z27" s="927"/>
      <c r="AA27" s="878">
        <v>600</v>
      </c>
      <c r="AB27" s="928">
        <f>AA27/AA$34</f>
        <v>0.13043478260869565</v>
      </c>
      <c r="AC27" s="927"/>
      <c r="AD27" s="927"/>
      <c r="AE27" s="878">
        <v>600</v>
      </c>
      <c r="AF27" s="928">
        <f>AE27/AE$34</f>
        <v>0.1111111111111111</v>
      </c>
      <c r="AG27" s="927"/>
      <c r="AH27" s="878"/>
      <c r="AI27" s="878">
        <v>600</v>
      </c>
      <c r="AJ27" s="928">
        <f>AI27/AI$34</f>
        <v>0.10169491525423729</v>
      </c>
      <c r="AK27" s="927"/>
      <c r="AL27" s="927"/>
      <c r="AM27" s="878">
        <v>500</v>
      </c>
      <c r="AN27" s="928">
        <f>AM27/AM$34</f>
        <v>8.6206896551724144E-2</v>
      </c>
      <c r="AO27" s="927"/>
      <c r="AP27" s="927"/>
      <c r="AQ27" s="878">
        <v>500</v>
      </c>
      <c r="AR27" s="928">
        <f>AQ27/AQ$34</f>
        <v>0.10204081632653061</v>
      </c>
      <c r="AS27" s="927"/>
      <c r="AT27" s="927"/>
      <c r="AU27" s="878">
        <v>500</v>
      </c>
      <c r="AV27" s="928">
        <f>AU27/AU$34</f>
        <v>0.10204081632653061</v>
      </c>
      <c r="AW27" s="927"/>
      <c r="AX27" s="927"/>
      <c r="AY27" s="878">
        <v>500</v>
      </c>
      <c r="AZ27" s="928">
        <f>AY27/AY$34</f>
        <v>0.10638297872340426</v>
      </c>
      <c r="BA27" s="927"/>
      <c r="BB27" s="927"/>
      <c r="BC27" s="878">
        <f>D27+H27+M27+S27+W27+AA27+AE27+AI27+AM27+AQ27+AU27+AY27</f>
        <v>8200</v>
      </c>
      <c r="BD27" s="928">
        <f>BC27/BC$34</f>
        <v>0.15769230769230769</v>
      </c>
    </row>
    <row r="28" spans="1:63" s="929" customFormat="1" ht="18.600000000000001" customHeight="1" x14ac:dyDescent="0.3">
      <c r="A28" s="925" t="s">
        <v>339</v>
      </c>
      <c r="B28" s="926"/>
      <c r="C28" s="927"/>
      <c r="D28" s="878">
        <v>0</v>
      </c>
      <c r="E28" s="928">
        <f t="shared" ref="E28:E33" si="0">D28/D$34</f>
        <v>0</v>
      </c>
      <c r="F28" s="927"/>
      <c r="G28" s="927"/>
      <c r="H28" s="878">
        <v>0</v>
      </c>
      <c r="I28" s="928">
        <f t="shared" ref="I28:I33" si="1">H28/H$34</f>
        <v>0</v>
      </c>
      <c r="J28" s="928"/>
      <c r="K28" s="927"/>
      <c r="L28" s="927"/>
      <c r="M28" s="878">
        <v>1500</v>
      </c>
      <c r="N28" s="878"/>
      <c r="O28" s="928">
        <f t="shared" ref="O28:O33" si="2">M28/M$34</f>
        <v>0.375</v>
      </c>
      <c r="P28" s="927"/>
      <c r="Q28" s="927"/>
      <c r="R28" s="927"/>
      <c r="S28" s="878">
        <v>1500</v>
      </c>
      <c r="T28" s="928">
        <f t="shared" ref="T28:T33" si="3">S28/S$34</f>
        <v>0.39473684210526316</v>
      </c>
      <c r="U28" s="927"/>
      <c r="V28" s="927"/>
      <c r="W28" s="878">
        <v>1200</v>
      </c>
      <c r="X28" s="928">
        <f t="shared" ref="X28:X33" si="4">W28/W$34</f>
        <v>0.2</v>
      </c>
      <c r="Y28" s="927"/>
      <c r="Z28" s="927"/>
      <c r="AA28" s="878">
        <v>1000</v>
      </c>
      <c r="AB28" s="928">
        <f t="shared" ref="AB28:AB33" si="5">AA28/AA$34</f>
        <v>0.21739130434782608</v>
      </c>
      <c r="AC28" s="927"/>
      <c r="AD28" s="927"/>
      <c r="AE28" s="878">
        <v>800</v>
      </c>
      <c r="AF28" s="928">
        <f t="shared" ref="AF28:AF33" si="6">AE28/AE$34</f>
        <v>0.14814814814814814</v>
      </c>
      <c r="AG28" s="927"/>
      <c r="AH28" s="878"/>
      <c r="AI28" s="878">
        <v>800</v>
      </c>
      <c r="AJ28" s="928">
        <f t="shared" ref="AJ28:AJ33" si="7">AI28/AI$34</f>
        <v>0.13559322033898305</v>
      </c>
      <c r="AK28" s="927"/>
      <c r="AL28" s="927"/>
      <c r="AM28" s="878">
        <v>1000</v>
      </c>
      <c r="AN28" s="928">
        <f t="shared" ref="AN28:AN33" si="8">AM28/AM$34</f>
        <v>0.17241379310344829</v>
      </c>
      <c r="AO28" s="927"/>
      <c r="AP28" s="927"/>
      <c r="AQ28" s="878">
        <v>1500</v>
      </c>
      <c r="AR28" s="928">
        <f t="shared" ref="AR28:AR33" si="9">AQ28/AQ$34</f>
        <v>0.30612244897959184</v>
      </c>
      <c r="AS28" s="927"/>
      <c r="AT28" s="927"/>
      <c r="AU28" s="878">
        <v>1500</v>
      </c>
      <c r="AV28" s="928">
        <f t="shared" ref="AV28:AV33" si="10">AU28/AU$34</f>
        <v>0.30612244897959184</v>
      </c>
      <c r="AW28" s="927"/>
      <c r="AX28" s="927"/>
      <c r="AY28" s="878">
        <v>1500</v>
      </c>
      <c r="AZ28" s="928">
        <f t="shared" ref="AZ28:AZ33" si="11">AY28/AY$34</f>
        <v>0.31914893617021278</v>
      </c>
      <c r="BA28" s="927"/>
      <c r="BB28" s="927"/>
      <c r="BC28" s="878">
        <f t="shared" ref="BC28:BC33" si="12">D28+H28+M28+S28+W28+AA28+AE28+AI28+AM28+AQ28+AU28+AY28</f>
        <v>12300</v>
      </c>
      <c r="BD28" s="928">
        <f t="shared" ref="BD28:BD33" si="13">BC28/BC$34</f>
        <v>0.23653846153846153</v>
      </c>
    </row>
    <row r="29" spans="1:63" s="929" customFormat="1" ht="18.600000000000001" customHeight="1" x14ac:dyDescent="0.3">
      <c r="A29" s="925" t="s">
        <v>340</v>
      </c>
      <c r="B29" s="926"/>
      <c r="C29" s="927"/>
      <c r="D29" s="878">
        <v>0</v>
      </c>
      <c r="E29" s="928">
        <f t="shared" si="0"/>
        <v>0</v>
      </c>
      <c r="F29" s="927"/>
      <c r="G29" s="927"/>
      <c r="H29" s="878">
        <v>0</v>
      </c>
      <c r="I29" s="928">
        <f t="shared" si="1"/>
        <v>0</v>
      </c>
      <c r="J29" s="928"/>
      <c r="K29" s="927"/>
      <c r="L29" s="927"/>
      <c r="M29" s="878">
        <v>0</v>
      </c>
      <c r="N29" s="878"/>
      <c r="O29" s="928">
        <f t="shared" si="2"/>
        <v>0</v>
      </c>
      <c r="P29" s="927"/>
      <c r="Q29" s="927"/>
      <c r="R29" s="927"/>
      <c r="S29" s="878">
        <v>0</v>
      </c>
      <c r="T29" s="928">
        <f t="shared" si="3"/>
        <v>0</v>
      </c>
      <c r="U29" s="927"/>
      <c r="V29" s="927"/>
      <c r="W29" s="878">
        <v>0</v>
      </c>
      <c r="X29" s="928">
        <f t="shared" si="4"/>
        <v>0</v>
      </c>
      <c r="Y29" s="927"/>
      <c r="Z29" s="927"/>
      <c r="AA29" s="878">
        <v>0</v>
      </c>
      <c r="AB29" s="928">
        <f t="shared" si="5"/>
        <v>0</v>
      </c>
      <c r="AC29" s="927"/>
      <c r="AD29" s="927"/>
      <c r="AE29" s="878">
        <v>500</v>
      </c>
      <c r="AF29" s="928">
        <f t="shared" si="6"/>
        <v>9.2592592592592587E-2</v>
      </c>
      <c r="AG29" s="927"/>
      <c r="AH29" s="878"/>
      <c r="AI29" s="878">
        <v>500</v>
      </c>
      <c r="AJ29" s="928">
        <f t="shared" si="7"/>
        <v>8.4745762711864403E-2</v>
      </c>
      <c r="AK29" s="927"/>
      <c r="AL29" s="927"/>
      <c r="AM29" s="878">
        <v>400</v>
      </c>
      <c r="AN29" s="928">
        <f t="shared" si="8"/>
        <v>6.8965517241379309E-2</v>
      </c>
      <c r="AO29" s="927"/>
      <c r="AP29" s="927"/>
      <c r="AQ29" s="878">
        <v>100</v>
      </c>
      <c r="AR29" s="928">
        <f t="shared" si="9"/>
        <v>2.0408163265306121E-2</v>
      </c>
      <c r="AS29" s="927"/>
      <c r="AT29" s="927"/>
      <c r="AU29" s="878">
        <v>100</v>
      </c>
      <c r="AV29" s="928">
        <f t="shared" si="10"/>
        <v>2.0408163265306121E-2</v>
      </c>
      <c r="AW29" s="927"/>
      <c r="AX29" s="927"/>
      <c r="AY29" s="878">
        <v>100</v>
      </c>
      <c r="AZ29" s="928">
        <f t="shared" si="11"/>
        <v>2.1276595744680851E-2</v>
      </c>
      <c r="BA29" s="927"/>
      <c r="BB29" s="927"/>
      <c r="BC29" s="878">
        <f t="shared" si="12"/>
        <v>1700</v>
      </c>
      <c r="BD29" s="928">
        <f t="shared" si="13"/>
        <v>3.2692307692307694E-2</v>
      </c>
    </row>
    <row r="30" spans="1:63" s="929" customFormat="1" ht="18.600000000000001" customHeight="1" x14ac:dyDescent="0.3">
      <c r="A30" s="925" t="s">
        <v>341</v>
      </c>
      <c r="B30" s="926"/>
      <c r="C30" s="927"/>
      <c r="D30" s="878">
        <v>0</v>
      </c>
      <c r="E30" s="928">
        <f t="shared" si="0"/>
        <v>0</v>
      </c>
      <c r="F30" s="927"/>
      <c r="G30" s="927"/>
      <c r="H30" s="878">
        <v>0</v>
      </c>
      <c r="I30" s="928">
        <f t="shared" si="1"/>
        <v>0</v>
      </c>
      <c r="J30" s="928"/>
      <c r="K30" s="927"/>
      <c r="L30" s="927"/>
      <c r="M30" s="878">
        <v>0</v>
      </c>
      <c r="N30" s="878"/>
      <c r="O30" s="928">
        <f t="shared" si="2"/>
        <v>0</v>
      </c>
      <c r="P30" s="927"/>
      <c r="Q30" s="927"/>
      <c r="R30" s="927"/>
      <c r="S30" s="878">
        <v>0</v>
      </c>
      <c r="T30" s="928">
        <f t="shared" si="3"/>
        <v>0</v>
      </c>
      <c r="U30" s="927"/>
      <c r="V30" s="927"/>
      <c r="W30" s="878">
        <v>0</v>
      </c>
      <c r="X30" s="928">
        <f t="shared" si="4"/>
        <v>0</v>
      </c>
      <c r="Y30" s="927"/>
      <c r="Z30" s="927"/>
      <c r="AA30" s="878">
        <v>0</v>
      </c>
      <c r="AB30" s="928">
        <f t="shared" si="5"/>
        <v>0</v>
      </c>
      <c r="AC30" s="927"/>
      <c r="AD30" s="927"/>
      <c r="AE30" s="878">
        <v>500</v>
      </c>
      <c r="AF30" s="928">
        <f t="shared" si="6"/>
        <v>9.2592592592592587E-2</v>
      </c>
      <c r="AG30" s="927"/>
      <c r="AH30" s="878"/>
      <c r="AI30" s="878">
        <v>500</v>
      </c>
      <c r="AJ30" s="928">
        <f t="shared" si="7"/>
        <v>8.4745762711864403E-2</v>
      </c>
      <c r="AK30" s="927"/>
      <c r="AL30" s="927"/>
      <c r="AM30" s="878">
        <v>400</v>
      </c>
      <c r="AN30" s="928">
        <f t="shared" si="8"/>
        <v>6.8965517241379309E-2</v>
      </c>
      <c r="AO30" s="927"/>
      <c r="AP30" s="927"/>
      <c r="AQ30" s="878">
        <v>100</v>
      </c>
      <c r="AR30" s="928">
        <f t="shared" si="9"/>
        <v>2.0408163265306121E-2</v>
      </c>
      <c r="AS30" s="927"/>
      <c r="AT30" s="927"/>
      <c r="AU30" s="878">
        <v>100</v>
      </c>
      <c r="AV30" s="928">
        <f t="shared" si="10"/>
        <v>2.0408163265306121E-2</v>
      </c>
      <c r="AW30" s="927"/>
      <c r="AX30" s="927"/>
      <c r="AY30" s="878">
        <v>100</v>
      </c>
      <c r="AZ30" s="928">
        <f t="shared" si="11"/>
        <v>2.1276595744680851E-2</v>
      </c>
      <c r="BA30" s="927"/>
      <c r="BB30" s="927"/>
      <c r="BC30" s="878">
        <f t="shared" si="12"/>
        <v>1700</v>
      </c>
      <c r="BD30" s="928">
        <f t="shared" si="13"/>
        <v>3.2692307692307694E-2</v>
      </c>
    </row>
    <row r="31" spans="1:63" s="929" customFormat="1" ht="18.600000000000001" customHeight="1" x14ac:dyDescent="0.3">
      <c r="A31" s="925" t="s">
        <v>329</v>
      </c>
      <c r="B31" s="926"/>
      <c r="C31" s="927"/>
      <c r="D31" s="878">
        <v>0</v>
      </c>
      <c r="E31" s="928">
        <f t="shared" si="0"/>
        <v>0</v>
      </c>
      <c r="F31" s="927"/>
      <c r="G31" s="927"/>
      <c r="H31" s="878">
        <v>0</v>
      </c>
      <c r="I31" s="928">
        <f t="shared" si="1"/>
        <v>0</v>
      </c>
      <c r="J31" s="928"/>
      <c r="K31" s="927"/>
      <c r="L31" s="927"/>
      <c r="M31" s="878">
        <v>1500</v>
      </c>
      <c r="N31" s="878"/>
      <c r="O31" s="928">
        <f t="shared" si="2"/>
        <v>0.375</v>
      </c>
      <c r="P31" s="927"/>
      <c r="Q31" s="927"/>
      <c r="R31" s="927"/>
      <c r="S31" s="878">
        <v>1500</v>
      </c>
      <c r="T31" s="928">
        <f t="shared" si="3"/>
        <v>0.39473684210526316</v>
      </c>
      <c r="U31" s="927"/>
      <c r="V31" s="927"/>
      <c r="W31" s="878">
        <v>1200</v>
      </c>
      <c r="X31" s="928">
        <f t="shared" si="4"/>
        <v>0.2</v>
      </c>
      <c r="Y31" s="927"/>
      <c r="Z31" s="927"/>
      <c r="AA31" s="878">
        <v>1000</v>
      </c>
      <c r="AB31" s="928">
        <f t="shared" si="5"/>
        <v>0.21739130434782608</v>
      </c>
      <c r="AC31" s="927"/>
      <c r="AD31" s="927"/>
      <c r="AE31" s="878">
        <v>1000</v>
      </c>
      <c r="AF31" s="928">
        <f t="shared" si="6"/>
        <v>0.18518518518518517</v>
      </c>
      <c r="AG31" s="927"/>
      <c r="AH31" s="927"/>
      <c r="AI31" s="878">
        <v>1500</v>
      </c>
      <c r="AJ31" s="928">
        <f t="shared" si="7"/>
        <v>0.25423728813559321</v>
      </c>
      <c r="AK31" s="927"/>
      <c r="AL31" s="927"/>
      <c r="AM31" s="878">
        <v>1500</v>
      </c>
      <c r="AN31" s="928">
        <f t="shared" si="8"/>
        <v>0.25862068965517243</v>
      </c>
      <c r="AO31" s="927"/>
      <c r="AP31" s="927"/>
      <c r="AQ31" s="878">
        <v>1500</v>
      </c>
      <c r="AR31" s="928">
        <f t="shared" si="9"/>
        <v>0.30612244897959184</v>
      </c>
      <c r="AS31" s="927"/>
      <c r="AT31" s="927"/>
      <c r="AU31" s="878">
        <v>1500</v>
      </c>
      <c r="AV31" s="928">
        <f t="shared" si="10"/>
        <v>0.30612244897959184</v>
      </c>
      <c r="AW31" s="927"/>
      <c r="AX31" s="927"/>
      <c r="AY31" s="878">
        <v>1500</v>
      </c>
      <c r="AZ31" s="928">
        <f t="shared" si="11"/>
        <v>0.31914893617021278</v>
      </c>
      <c r="BA31" s="927"/>
      <c r="BB31" s="927"/>
      <c r="BC31" s="878">
        <f t="shared" si="12"/>
        <v>13700</v>
      </c>
      <c r="BD31" s="928">
        <f t="shared" si="13"/>
        <v>0.26346153846153847</v>
      </c>
    </row>
    <row r="32" spans="1:63" s="929" customFormat="1" ht="18.600000000000001" customHeight="1" x14ac:dyDescent="0.3">
      <c r="A32" s="925" t="s">
        <v>342</v>
      </c>
      <c r="B32" s="926"/>
      <c r="C32" s="927"/>
      <c r="D32" s="878">
        <v>0</v>
      </c>
      <c r="E32" s="928">
        <f t="shared" si="0"/>
        <v>0</v>
      </c>
      <c r="F32" s="927"/>
      <c r="G32" s="927"/>
      <c r="H32" s="878">
        <v>0</v>
      </c>
      <c r="I32" s="928">
        <f t="shared" si="1"/>
        <v>0</v>
      </c>
      <c r="J32" s="928"/>
      <c r="K32" s="927"/>
      <c r="L32" s="927"/>
      <c r="M32" s="878">
        <v>0</v>
      </c>
      <c r="N32" s="878"/>
      <c r="O32" s="928">
        <f t="shared" si="2"/>
        <v>0</v>
      </c>
      <c r="P32" s="927"/>
      <c r="Q32" s="927"/>
      <c r="R32" s="927"/>
      <c r="S32" s="878">
        <v>0</v>
      </c>
      <c r="T32" s="928">
        <f t="shared" si="3"/>
        <v>0</v>
      </c>
      <c r="U32" s="927"/>
      <c r="V32" s="927"/>
      <c r="W32" s="878">
        <v>1500</v>
      </c>
      <c r="X32" s="928">
        <f t="shared" si="4"/>
        <v>0.25</v>
      </c>
      <c r="Y32" s="927"/>
      <c r="Z32" s="927"/>
      <c r="AA32" s="878">
        <v>1000</v>
      </c>
      <c r="AB32" s="928">
        <f t="shared" si="5"/>
        <v>0.21739130434782608</v>
      </c>
      <c r="AC32" s="927"/>
      <c r="AD32" s="927"/>
      <c r="AE32" s="878">
        <v>1000</v>
      </c>
      <c r="AF32" s="928">
        <f t="shared" si="6"/>
        <v>0.18518518518518517</v>
      </c>
      <c r="AG32" s="927"/>
      <c r="AH32" s="927"/>
      <c r="AI32" s="878">
        <v>1000</v>
      </c>
      <c r="AJ32" s="928">
        <f t="shared" si="7"/>
        <v>0.16949152542372881</v>
      </c>
      <c r="AK32" s="927"/>
      <c r="AL32" s="927"/>
      <c r="AM32" s="878">
        <v>1000</v>
      </c>
      <c r="AN32" s="928">
        <f t="shared" si="8"/>
        <v>0.17241379310344829</v>
      </c>
      <c r="AO32" s="927"/>
      <c r="AP32" s="927"/>
      <c r="AQ32" s="878">
        <v>600</v>
      </c>
      <c r="AR32" s="928">
        <f t="shared" si="9"/>
        <v>0.12244897959183673</v>
      </c>
      <c r="AS32" s="927"/>
      <c r="AT32" s="927"/>
      <c r="AU32" s="878">
        <v>600</v>
      </c>
      <c r="AV32" s="928">
        <f t="shared" si="10"/>
        <v>0.12244897959183673</v>
      </c>
      <c r="AW32" s="927"/>
      <c r="AX32" s="927"/>
      <c r="AY32" s="878">
        <v>500</v>
      </c>
      <c r="AZ32" s="928">
        <f t="shared" si="11"/>
        <v>0.10638297872340426</v>
      </c>
      <c r="BA32" s="927"/>
      <c r="BB32" s="927"/>
      <c r="BC32" s="878">
        <f t="shared" si="12"/>
        <v>7200</v>
      </c>
      <c r="BD32" s="928">
        <f t="shared" si="13"/>
        <v>0.13846153846153847</v>
      </c>
    </row>
    <row r="33" spans="1:56" s="929" customFormat="1" ht="18.600000000000001" customHeight="1" x14ac:dyDescent="0.3">
      <c r="A33" s="930" t="s">
        <v>343</v>
      </c>
      <c r="B33" s="926"/>
      <c r="C33" s="927"/>
      <c r="D33" s="879">
        <v>0</v>
      </c>
      <c r="E33" s="931">
        <f t="shared" si="0"/>
        <v>0</v>
      </c>
      <c r="F33" s="927"/>
      <c r="G33" s="927"/>
      <c r="H33" s="879">
        <v>0</v>
      </c>
      <c r="I33" s="931">
        <f t="shared" si="1"/>
        <v>0</v>
      </c>
      <c r="J33" s="928"/>
      <c r="K33" s="927"/>
      <c r="L33" s="927"/>
      <c r="M33" s="879">
        <v>0</v>
      </c>
      <c r="N33" s="879"/>
      <c r="O33" s="931">
        <f t="shared" si="2"/>
        <v>0</v>
      </c>
      <c r="P33" s="927"/>
      <c r="Q33" s="927"/>
      <c r="R33" s="927"/>
      <c r="S33" s="879">
        <v>0</v>
      </c>
      <c r="T33" s="931">
        <f t="shared" si="3"/>
        <v>0</v>
      </c>
      <c r="U33" s="927"/>
      <c r="V33" s="927"/>
      <c r="W33" s="879">
        <v>1500</v>
      </c>
      <c r="X33" s="931">
        <f t="shared" si="4"/>
        <v>0.25</v>
      </c>
      <c r="Y33" s="927"/>
      <c r="Z33" s="927"/>
      <c r="AA33" s="879">
        <v>1000</v>
      </c>
      <c r="AB33" s="931">
        <f t="shared" si="5"/>
        <v>0.21739130434782608</v>
      </c>
      <c r="AC33" s="927"/>
      <c r="AD33" s="927"/>
      <c r="AE33" s="879">
        <v>1000</v>
      </c>
      <c r="AF33" s="931">
        <f t="shared" si="6"/>
        <v>0.18518518518518517</v>
      </c>
      <c r="AG33" s="927"/>
      <c r="AH33" s="927"/>
      <c r="AI33" s="879">
        <v>1000</v>
      </c>
      <c r="AJ33" s="931">
        <f t="shared" si="7"/>
        <v>0.16949152542372881</v>
      </c>
      <c r="AK33" s="927"/>
      <c r="AL33" s="927"/>
      <c r="AM33" s="879">
        <v>1000</v>
      </c>
      <c r="AN33" s="931">
        <f t="shared" si="8"/>
        <v>0.17241379310344829</v>
      </c>
      <c r="AO33" s="927"/>
      <c r="AP33" s="927"/>
      <c r="AQ33" s="879">
        <v>600</v>
      </c>
      <c r="AR33" s="931">
        <f t="shared" si="9"/>
        <v>0.12244897959183673</v>
      </c>
      <c r="AS33" s="927"/>
      <c r="AT33" s="927"/>
      <c r="AU33" s="879">
        <v>600</v>
      </c>
      <c r="AV33" s="931">
        <f t="shared" si="10"/>
        <v>0.12244897959183673</v>
      </c>
      <c r="AW33" s="927"/>
      <c r="AX33" s="927"/>
      <c r="AY33" s="879">
        <v>500</v>
      </c>
      <c r="AZ33" s="931">
        <f t="shared" si="11"/>
        <v>0.10638297872340426</v>
      </c>
      <c r="BA33" s="927"/>
      <c r="BB33" s="927"/>
      <c r="BC33" s="879">
        <f t="shared" si="12"/>
        <v>7200</v>
      </c>
      <c r="BD33" s="931">
        <f t="shared" si="13"/>
        <v>0.13846153846153847</v>
      </c>
    </row>
    <row r="34" spans="1:56" s="154" customFormat="1" ht="27.6" customHeight="1" x14ac:dyDescent="0.3">
      <c r="A34" s="932" t="s">
        <v>330</v>
      </c>
      <c r="B34" s="933"/>
      <c r="C34" s="934"/>
      <c r="D34" s="880">
        <f>SUM(D27:D33)</f>
        <v>1000</v>
      </c>
      <c r="E34" s="935">
        <f>SUM(E27:E33)</f>
        <v>1</v>
      </c>
      <c r="F34" s="934"/>
      <c r="G34" s="934"/>
      <c r="H34" s="880">
        <f>SUM(H27:H33)</f>
        <v>1000</v>
      </c>
      <c r="I34" s="935">
        <f>SUM(I27:I33)</f>
        <v>1</v>
      </c>
      <c r="J34" s="935"/>
      <c r="K34" s="934"/>
      <c r="L34" s="934"/>
      <c r="M34" s="880">
        <f>SUM(M27:M33)</f>
        <v>4000</v>
      </c>
      <c r="N34" s="880"/>
      <c r="O34" s="935">
        <f>SUM(O27:O33)</f>
        <v>1</v>
      </c>
      <c r="P34" s="934"/>
      <c r="Q34" s="934"/>
      <c r="R34" s="934"/>
      <c r="S34" s="880">
        <f>SUM(S27:S33)</f>
        <v>3800</v>
      </c>
      <c r="T34" s="935">
        <f>SUM(T27:T33)</f>
        <v>1</v>
      </c>
      <c r="U34" s="934"/>
      <c r="V34" s="934"/>
      <c r="W34" s="880">
        <f>SUM(W27:W33)</f>
        <v>6000</v>
      </c>
      <c r="X34" s="935">
        <f>SUM(X27:X33)</f>
        <v>1</v>
      </c>
      <c r="Y34" s="934"/>
      <c r="Z34" s="934"/>
      <c r="AA34" s="880">
        <f>SUM(AA27:AA33)</f>
        <v>4600</v>
      </c>
      <c r="AB34" s="935">
        <f>SUM(AB27:AB33)</f>
        <v>0.99999999999999989</v>
      </c>
      <c r="AC34" s="934"/>
      <c r="AD34" s="934"/>
      <c r="AE34" s="880">
        <f>SUM(AE27:AE33)</f>
        <v>5400</v>
      </c>
      <c r="AF34" s="935">
        <f>SUM(AF27:AF33)</f>
        <v>0.99999999999999978</v>
      </c>
      <c r="AG34" s="934"/>
      <c r="AH34" s="934"/>
      <c r="AI34" s="880">
        <f>SUM(AI27:AI33)</f>
        <v>5900</v>
      </c>
      <c r="AJ34" s="935">
        <f>SUM(AJ27:AJ33)</f>
        <v>1</v>
      </c>
      <c r="AK34" s="934"/>
      <c r="AL34" s="934"/>
      <c r="AM34" s="880">
        <f>SUM(AM27:AM33)</f>
        <v>5800</v>
      </c>
      <c r="AN34" s="935">
        <f>SUM(AN27:AN33)</f>
        <v>1</v>
      </c>
      <c r="AO34" s="934"/>
      <c r="AP34" s="934"/>
      <c r="AQ34" s="880">
        <f>SUM(AQ27:AQ33)</f>
        <v>4900</v>
      </c>
      <c r="AR34" s="935">
        <f>SUM(AR27:AR33)</f>
        <v>1</v>
      </c>
      <c r="AS34" s="934"/>
      <c r="AT34" s="934"/>
      <c r="AU34" s="880">
        <f>SUM(AU27:AU33)</f>
        <v>4900</v>
      </c>
      <c r="AV34" s="935">
        <f>SUM(AV27:AV33)</f>
        <v>1</v>
      </c>
      <c r="AW34" s="934"/>
      <c r="AX34" s="934"/>
      <c r="AY34" s="880">
        <f>SUM(AY27:AY33)</f>
        <v>4700</v>
      </c>
      <c r="AZ34" s="935">
        <f>SUM(AZ27:AZ33)</f>
        <v>1</v>
      </c>
      <c r="BA34" s="934"/>
      <c r="BB34" s="934"/>
      <c r="BC34" s="880">
        <f>SUM(BC27:BC33)</f>
        <v>52000</v>
      </c>
      <c r="BD34" s="935">
        <f>SUM(BD27:BD33)</f>
        <v>1</v>
      </c>
    </row>
    <row r="35" spans="1:56" s="39" customFormat="1" ht="22.8" customHeight="1" x14ac:dyDescent="0.3">
      <c r="A35" s="107"/>
      <c r="B35" s="936"/>
      <c r="C35" s="424"/>
      <c r="D35" s="881"/>
      <c r="E35" s="937"/>
      <c r="F35" s="424"/>
      <c r="G35" s="424"/>
      <c r="H35" s="881"/>
      <c r="I35" s="937"/>
      <c r="J35" s="937"/>
      <c r="K35" s="424"/>
      <c r="L35" s="424"/>
      <c r="M35" s="881"/>
      <c r="N35" s="881"/>
      <c r="O35" s="937"/>
      <c r="P35" s="424"/>
      <c r="Q35" s="424"/>
      <c r="R35" s="424"/>
      <c r="S35" s="881"/>
      <c r="T35" s="937"/>
      <c r="U35" s="424"/>
      <c r="V35" s="424"/>
      <c r="W35" s="881"/>
      <c r="X35" s="937"/>
      <c r="Y35" s="424"/>
      <c r="Z35" s="424"/>
      <c r="AA35" s="881"/>
      <c r="AB35" s="937"/>
      <c r="AC35" s="424"/>
      <c r="AD35" s="424"/>
      <c r="AE35" s="881"/>
      <c r="AF35" s="937"/>
      <c r="AG35" s="424"/>
      <c r="AH35" s="424"/>
      <c r="AI35" s="881"/>
      <c r="AJ35" s="937"/>
      <c r="AK35" s="424"/>
      <c r="AL35" s="424"/>
      <c r="AM35" s="881"/>
      <c r="AN35" s="937"/>
      <c r="AO35" s="424"/>
      <c r="AP35" s="424"/>
      <c r="AQ35" s="881"/>
      <c r="AR35" s="937"/>
      <c r="AS35" s="424"/>
      <c r="AT35" s="424"/>
      <c r="AU35" s="881"/>
      <c r="AV35" s="937"/>
      <c r="AW35" s="424"/>
      <c r="AX35" s="424"/>
      <c r="AY35" s="881"/>
      <c r="AZ35" s="937"/>
      <c r="BA35" s="424"/>
      <c r="BB35" s="424"/>
      <c r="BC35" s="881"/>
      <c r="BD35" s="937"/>
    </row>
    <row r="36" spans="1:56" x14ac:dyDescent="0.3">
      <c r="A36" s="107"/>
      <c r="B36" s="917"/>
      <c r="C36" s="917"/>
      <c r="D36" s="917"/>
      <c r="BC36" s="232"/>
    </row>
    <row r="37" spans="1:56" ht="42" customHeight="1" x14ac:dyDescent="0.3">
      <c r="A37" s="938" t="s">
        <v>134</v>
      </c>
      <c r="B37" s="938" t="s">
        <v>331</v>
      </c>
      <c r="C37" s="939"/>
      <c r="D37" s="940" t="s">
        <v>332</v>
      </c>
      <c r="E37" s="941" t="s">
        <v>349</v>
      </c>
    </row>
    <row r="38" spans="1:56" ht="18.600000000000001" customHeight="1" x14ac:dyDescent="0.3">
      <c r="A38" s="942" t="s">
        <v>338</v>
      </c>
      <c r="B38" s="943">
        <v>33.33</v>
      </c>
      <c r="C38" s="939"/>
      <c r="D38" s="872">
        <v>0.86683317000000004</v>
      </c>
      <c r="E38" s="873">
        <f t="shared" ref="E38:E44" si="14">B38*D38</f>
        <v>28.891549556099999</v>
      </c>
    </row>
    <row r="39" spans="1:56" ht="18.600000000000001" customHeight="1" x14ac:dyDescent="0.3">
      <c r="A39" s="942" t="s">
        <v>339</v>
      </c>
      <c r="B39" s="943">
        <v>9.52</v>
      </c>
      <c r="C39" s="939"/>
      <c r="D39" s="872">
        <v>0.86683317000000004</v>
      </c>
      <c r="E39" s="873">
        <f t="shared" si="14"/>
        <v>8.2522517783999998</v>
      </c>
    </row>
    <row r="40" spans="1:56" ht="18.600000000000001" customHeight="1" x14ac:dyDescent="0.3">
      <c r="A40" s="942" t="s">
        <v>340</v>
      </c>
      <c r="B40" s="943">
        <v>33.33</v>
      </c>
      <c r="C40" s="939"/>
      <c r="D40" s="872">
        <v>0.86683317000000004</v>
      </c>
      <c r="E40" s="873">
        <f t="shared" si="14"/>
        <v>28.891549556099999</v>
      </c>
    </row>
    <row r="41" spans="1:56" ht="18.600000000000001" customHeight="1" x14ac:dyDescent="0.3">
      <c r="A41" s="942" t="s">
        <v>341</v>
      </c>
      <c r="B41" s="943">
        <v>33.33</v>
      </c>
      <c r="C41" s="939"/>
      <c r="D41" s="872">
        <v>0.86683317000000004</v>
      </c>
      <c r="E41" s="873">
        <f t="shared" si="14"/>
        <v>28.891549556099999</v>
      </c>
    </row>
    <row r="42" spans="1:56" ht="18.600000000000001" customHeight="1" x14ac:dyDescent="0.3">
      <c r="A42" s="942" t="s">
        <v>329</v>
      </c>
      <c r="B42" s="943">
        <v>5</v>
      </c>
      <c r="C42" s="939"/>
      <c r="D42" s="872">
        <v>0.86683317000000004</v>
      </c>
      <c r="E42" s="873">
        <f t="shared" si="14"/>
        <v>4.3341658499999998</v>
      </c>
    </row>
    <row r="43" spans="1:56" ht="18.600000000000001" customHeight="1" x14ac:dyDescent="0.3">
      <c r="A43" s="942" t="s">
        <v>342</v>
      </c>
      <c r="B43" s="943">
        <v>19.05</v>
      </c>
      <c r="C43" s="939"/>
      <c r="D43" s="872">
        <v>0.86683317000000004</v>
      </c>
      <c r="E43" s="873">
        <f t="shared" si="14"/>
        <v>16.513171888500001</v>
      </c>
    </row>
    <row r="44" spans="1:56" ht="18.600000000000001" customHeight="1" x14ac:dyDescent="0.3">
      <c r="A44" s="942" t="s">
        <v>343</v>
      </c>
      <c r="B44" s="943">
        <v>19.05</v>
      </c>
      <c r="C44" s="939"/>
      <c r="D44" s="872">
        <v>0.86683317000000004</v>
      </c>
      <c r="E44" s="873">
        <f t="shared" si="14"/>
        <v>16.513171888500001</v>
      </c>
    </row>
    <row r="45" spans="1:56" ht="18.600000000000001" customHeight="1" x14ac:dyDescent="0.3">
      <c r="B45" s="944"/>
      <c r="C45" s="919"/>
      <c r="D45" s="882"/>
      <c r="E45" s="424"/>
      <c r="F45" s="883"/>
    </row>
    <row r="46" spans="1:56" x14ac:dyDescent="0.3">
      <c r="A46" s="107"/>
      <c r="B46" s="917"/>
      <c r="C46" s="917"/>
      <c r="D46" s="917"/>
    </row>
    <row r="47" spans="1:56" ht="27" customHeight="1" x14ac:dyDescent="0.3">
      <c r="A47" s="945" t="s">
        <v>364</v>
      </c>
      <c r="B47" s="946" t="s">
        <v>350</v>
      </c>
      <c r="C47" s="917"/>
      <c r="D47" s="917"/>
    </row>
    <row r="48" spans="1:56" ht="19.2" customHeight="1" x14ac:dyDescent="0.3">
      <c r="A48" s="944" t="s">
        <v>336</v>
      </c>
      <c r="B48" s="684">
        <f>BC27</f>
        <v>8200</v>
      </c>
      <c r="C48" s="917"/>
      <c r="D48" s="917"/>
    </row>
    <row r="49" spans="1:22" ht="19.2" customHeight="1" x14ac:dyDescent="0.3">
      <c r="A49" s="944" t="s">
        <v>337</v>
      </c>
      <c r="B49" s="684">
        <f t="shared" ref="B49:B54" si="15">BC28</f>
        <v>12300</v>
      </c>
      <c r="C49" s="917"/>
      <c r="D49" s="917"/>
    </row>
    <row r="50" spans="1:22" ht="19.2" customHeight="1" x14ac:dyDescent="0.3">
      <c r="A50" s="944" t="s">
        <v>345</v>
      </c>
      <c r="B50" s="684">
        <f t="shared" si="15"/>
        <v>1700</v>
      </c>
    </row>
    <row r="51" spans="1:22" ht="19.2" customHeight="1" x14ac:dyDescent="0.3">
      <c r="A51" s="944" t="s">
        <v>346</v>
      </c>
      <c r="B51" s="684">
        <f t="shared" si="15"/>
        <v>1700</v>
      </c>
    </row>
    <row r="52" spans="1:22" ht="19.2" customHeight="1" x14ac:dyDescent="0.3">
      <c r="A52" s="944" t="s">
        <v>344</v>
      </c>
      <c r="B52" s="684">
        <f t="shared" si="15"/>
        <v>13700</v>
      </c>
    </row>
    <row r="53" spans="1:22" ht="19.2" customHeight="1" x14ac:dyDescent="0.3">
      <c r="A53" s="944" t="s">
        <v>347</v>
      </c>
      <c r="B53" s="684">
        <f t="shared" si="15"/>
        <v>7200</v>
      </c>
    </row>
    <row r="54" spans="1:22" ht="19.2" customHeight="1" x14ac:dyDescent="0.3">
      <c r="A54" s="947" t="s">
        <v>348</v>
      </c>
      <c r="B54" s="948">
        <f t="shared" si="15"/>
        <v>7200</v>
      </c>
    </row>
    <row r="55" spans="1:22" s="39" customFormat="1" ht="25.2" customHeight="1" x14ac:dyDescent="0.3">
      <c r="A55" s="107" t="s">
        <v>351</v>
      </c>
      <c r="B55" s="881">
        <f>SUM(B48:B54)</f>
        <v>52000</v>
      </c>
    </row>
    <row r="59" spans="1:22" s="890" customFormat="1" ht="29.4" customHeight="1" x14ac:dyDescent="0.3">
      <c r="A59" s="952"/>
      <c r="B59" s="953" t="s">
        <v>365</v>
      </c>
      <c r="C59" s="971" t="s">
        <v>38</v>
      </c>
      <c r="D59" s="972"/>
      <c r="E59" s="972"/>
      <c r="F59" s="973"/>
      <c r="G59" s="971" t="s">
        <v>39</v>
      </c>
      <c r="H59" s="972"/>
      <c r="I59" s="972"/>
      <c r="J59" s="973"/>
      <c r="K59" s="971" t="s">
        <v>40</v>
      </c>
      <c r="L59" s="972"/>
      <c r="M59" s="972"/>
      <c r="N59" s="973"/>
      <c r="O59" s="971" t="s">
        <v>141</v>
      </c>
      <c r="P59" s="972"/>
      <c r="Q59" s="972"/>
      <c r="R59" s="973"/>
      <c r="S59" s="971" t="s">
        <v>145</v>
      </c>
      <c r="T59" s="972"/>
      <c r="U59" s="972"/>
      <c r="V59" s="973"/>
    </row>
    <row r="60" spans="1:22" s="890" customFormat="1" ht="29.4" customHeight="1" x14ac:dyDescent="0.3">
      <c r="A60" s="891"/>
      <c r="B60" s="892"/>
      <c r="C60" s="893" t="s">
        <v>367</v>
      </c>
      <c r="D60" s="894" t="s">
        <v>361</v>
      </c>
      <c r="E60" s="895" t="s">
        <v>369</v>
      </c>
      <c r="F60" s="896" t="s">
        <v>368</v>
      </c>
      <c r="G60" s="893" t="s">
        <v>367</v>
      </c>
      <c r="H60" s="894" t="s">
        <v>361</v>
      </c>
      <c r="I60" s="895" t="s">
        <v>369</v>
      </c>
      <c r="J60" s="896" t="s">
        <v>368</v>
      </c>
      <c r="K60" s="893" t="s">
        <v>367</v>
      </c>
      <c r="L60" s="894" t="s">
        <v>361</v>
      </c>
      <c r="M60" s="895" t="s">
        <v>369</v>
      </c>
      <c r="N60" s="896" t="s">
        <v>368</v>
      </c>
      <c r="O60" s="893" t="s">
        <v>367</v>
      </c>
      <c r="P60" s="894" t="s">
        <v>361</v>
      </c>
      <c r="Q60" s="895" t="s">
        <v>369</v>
      </c>
      <c r="R60" s="896" t="s">
        <v>368</v>
      </c>
      <c r="S60" s="893" t="s">
        <v>367</v>
      </c>
      <c r="T60" s="894" t="s">
        <v>361</v>
      </c>
      <c r="U60" s="895" t="s">
        <v>369</v>
      </c>
      <c r="V60" s="896" t="s">
        <v>368</v>
      </c>
    </row>
    <row r="61" spans="1:22" s="902" customFormat="1" ht="21.6" customHeight="1" x14ac:dyDescent="0.3">
      <c r="A61" s="897"/>
      <c r="B61" s="898" t="s">
        <v>129</v>
      </c>
      <c r="C61" s="899">
        <f t="shared" ref="C61:C67" si="16">E38</f>
        <v>28.891549556099999</v>
      </c>
      <c r="D61" s="900">
        <f t="shared" ref="D61:D67" si="17">B48</f>
        <v>8200</v>
      </c>
      <c r="E61" s="901">
        <f t="shared" ref="E61:E67" si="18">D61/D$68</f>
        <v>0.15769230769230769</v>
      </c>
      <c r="F61" s="910">
        <f>'Users 1st year'!AZ11</f>
        <v>277</v>
      </c>
      <c r="G61" s="899">
        <f>C61*0.8*1.05</f>
        <v>24.268901627124002</v>
      </c>
      <c r="H61" s="900">
        <v>7000</v>
      </c>
      <c r="I61" s="901">
        <f t="shared" ref="I61:I67" si="19">H61/H$68</f>
        <v>0.17499999999999999</v>
      </c>
      <c r="J61" s="910">
        <f>H61/G61</f>
        <v>288.43497359503442</v>
      </c>
      <c r="K61" s="899">
        <f>G61*0.8*1.05</f>
        <v>20.385877366784161</v>
      </c>
      <c r="L61" s="900">
        <v>7000</v>
      </c>
      <c r="M61" s="901">
        <f t="shared" ref="M61:M67" si="20">L61/L$68</f>
        <v>0.17499999999999999</v>
      </c>
      <c r="N61" s="910">
        <f>L61/K61</f>
        <v>343.37496856551718</v>
      </c>
      <c r="O61" s="899">
        <f>K61*0.8*1.05</f>
        <v>17.124136988098698</v>
      </c>
      <c r="P61" s="900">
        <v>7000</v>
      </c>
      <c r="Q61" s="901">
        <f t="shared" ref="Q61:Q67" si="21">P61/P$68</f>
        <v>0.17499999999999999</v>
      </c>
      <c r="R61" s="910">
        <f>P61/O61</f>
        <v>408.77972448275852</v>
      </c>
      <c r="S61" s="899">
        <f>O61*0.8*1.05</f>
        <v>14.384275070002907</v>
      </c>
      <c r="T61" s="900">
        <v>7000</v>
      </c>
      <c r="U61" s="901">
        <f t="shared" ref="U61:U67" si="22">T61/T$68</f>
        <v>0.17499999999999999</v>
      </c>
      <c r="V61" s="910">
        <f>T61/S61</f>
        <v>486.64252914614104</v>
      </c>
    </row>
    <row r="62" spans="1:22" s="902" customFormat="1" ht="21.6" customHeight="1" x14ac:dyDescent="0.3">
      <c r="A62" s="897"/>
      <c r="B62" s="898" t="s">
        <v>130</v>
      </c>
      <c r="C62" s="899">
        <f t="shared" si="16"/>
        <v>8.2522517783999998</v>
      </c>
      <c r="D62" s="900">
        <f t="shared" si="17"/>
        <v>12300</v>
      </c>
      <c r="E62" s="901">
        <f t="shared" si="18"/>
        <v>0.23653846153846153</v>
      </c>
      <c r="F62" s="910">
        <f>'Users 1st year'!AZ12</f>
        <v>1484</v>
      </c>
      <c r="G62" s="899">
        <f t="shared" ref="G62:G67" si="23">C62*0.8*1.05</f>
        <v>6.9318914938560008</v>
      </c>
      <c r="H62" s="900">
        <v>5000</v>
      </c>
      <c r="I62" s="901">
        <f t="shared" si="19"/>
        <v>0.125</v>
      </c>
      <c r="J62" s="910">
        <f t="shared" ref="J62:J67" si="24">H62/G62</f>
        <v>721.30384678290045</v>
      </c>
      <c r="K62" s="899">
        <f t="shared" ref="K62:K67" si="25">G62*0.8*1.05</f>
        <v>5.8227888548390414</v>
      </c>
      <c r="L62" s="900">
        <v>5000</v>
      </c>
      <c r="M62" s="901">
        <f t="shared" si="20"/>
        <v>0.125</v>
      </c>
      <c r="N62" s="910">
        <f t="shared" ref="N62:N67" si="26">L62/K62</f>
        <v>858.69505569392902</v>
      </c>
      <c r="O62" s="899">
        <f t="shared" ref="O62:O67" si="27">K62*0.8*1.05</f>
        <v>4.8911426380647951</v>
      </c>
      <c r="P62" s="900">
        <v>5000</v>
      </c>
      <c r="Q62" s="901">
        <f t="shared" si="21"/>
        <v>0.125</v>
      </c>
      <c r="R62" s="910">
        <f t="shared" ref="R62:R67" si="28">P62/O62</f>
        <v>1022.2560186832488</v>
      </c>
      <c r="S62" s="899">
        <f t="shared" ref="S62:S67" si="29">O62*0.8*1.05</f>
        <v>4.1085598159744281</v>
      </c>
      <c r="T62" s="900">
        <v>5000</v>
      </c>
      <c r="U62" s="901">
        <f t="shared" si="22"/>
        <v>0.125</v>
      </c>
      <c r="V62" s="910">
        <f t="shared" ref="V62:V67" si="30">T62/S62</f>
        <v>1216.9714508133914</v>
      </c>
    </row>
    <row r="63" spans="1:22" s="902" customFormat="1" ht="21.6" customHeight="1" x14ac:dyDescent="0.3">
      <c r="A63" s="897"/>
      <c r="B63" s="898" t="s">
        <v>366</v>
      </c>
      <c r="C63" s="899">
        <f t="shared" si="16"/>
        <v>28.891549556099999</v>
      </c>
      <c r="D63" s="900">
        <f t="shared" si="17"/>
        <v>1700</v>
      </c>
      <c r="E63" s="901">
        <f t="shared" si="18"/>
        <v>3.2692307692307694E-2</v>
      </c>
      <c r="F63" s="910">
        <f>'Users 1st year'!AZ13</f>
        <v>56</v>
      </c>
      <c r="G63" s="899">
        <f t="shared" si="23"/>
        <v>24.268901627124002</v>
      </c>
      <c r="H63" s="900">
        <v>5000</v>
      </c>
      <c r="I63" s="901">
        <f t="shared" si="19"/>
        <v>0.125</v>
      </c>
      <c r="J63" s="910">
        <f t="shared" si="24"/>
        <v>206.02498113931031</v>
      </c>
      <c r="K63" s="899">
        <f t="shared" si="25"/>
        <v>20.385877366784161</v>
      </c>
      <c r="L63" s="900">
        <v>5000</v>
      </c>
      <c r="M63" s="901">
        <f t="shared" si="20"/>
        <v>0.125</v>
      </c>
      <c r="N63" s="910">
        <f t="shared" si="26"/>
        <v>245.26783468965516</v>
      </c>
      <c r="O63" s="899">
        <f t="shared" si="27"/>
        <v>17.124136988098698</v>
      </c>
      <c r="P63" s="900">
        <v>5000</v>
      </c>
      <c r="Q63" s="901">
        <f t="shared" si="21"/>
        <v>0.125</v>
      </c>
      <c r="R63" s="910">
        <f t="shared" si="28"/>
        <v>291.98551748768466</v>
      </c>
      <c r="S63" s="899">
        <f t="shared" si="29"/>
        <v>14.384275070002907</v>
      </c>
      <c r="T63" s="900">
        <v>5000</v>
      </c>
      <c r="U63" s="901">
        <f t="shared" si="22"/>
        <v>0.125</v>
      </c>
      <c r="V63" s="910">
        <f t="shared" si="30"/>
        <v>347.60180653295788</v>
      </c>
    </row>
    <row r="64" spans="1:22" s="902" customFormat="1" ht="21.6" customHeight="1" x14ac:dyDescent="0.3">
      <c r="A64" s="897"/>
      <c r="B64" s="898" t="s">
        <v>249</v>
      </c>
      <c r="C64" s="899">
        <f t="shared" si="16"/>
        <v>28.891549556099999</v>
      </c>
      <c r="D64" s="900">
        <f t="shared" si="17"/>
        <v>1700</v>
      </c>
      <c r="E64" s="901">
        <f t="shared" si="18"/>
        <v>3.2692307692307694E-2</v>
      </c>
      <c r="F64" s="910">
        <f>'Users 1st year'!AZ14</f>
        <v>56</v>
      </c>
      <c r="G64" s="899">
        <f t="shared" si="23"/>
        <v>24.268901627124002</v>
      </c>
      <c r="H64" s="900">
        <v>5000</v>
      </c>
      <c r="I64" s="901">
        <f t="shared" si="19"/>
        <v>0.125</v>
      </c>
      <c r="J64" s="910">
        <f t="shared" si="24"/>
        <v>206.02498113931031</v>
      </c>
      <c r="K64" s="899">
        <f t="shared" si="25"/>
        <v>20.385877366784161</v>
      </c>
      <c r="L64" s="900">
        <v>5000</v>
      </c>
      <c r="M64" s="901">
        <f t="shared" si="20"/>
        <v>0.125</v>
      </c>
      <c r="N64" s="910">
        <f t="shared" si="26"/>
        <v>245.26783468965516</v>
      </c>
      <c r="O64" s="899">
        <f t="shared" si="27"/>
        <v>17.124136988098698</v>
      </c>
      <c r="P64" s="900">
        <v>5000</v>
      </c>
      <c r="Q64" s="901">
        <f t="shared" si="21"/>
        <v>0.125</v>
      </c>
      <c r="R64" s="910">
        <f t="shared" si="28"/>
        <v>291.98551748768466</v>
      </c>
      <c r="S64" s="899">
        <f t="shared" si="29"/>
        <v>14.384275070002907</v>
      </c>
      <c r="T64" s="900">
        <v>5000</v>
      </c>
      <c r="U64" s="901">
        <f t="shared" si="22"/>
        <v>0.125</v>
      </c>
      <c r="V64" s="910">
        <f t="shared" si="30"/>
        <v>347.60180653295788</v>
      </c>
    </row>
    <row r="65" spans="1:22" s="902" customFormat="1" ht="21.6" customHeight="1" x14ac:dyDescent="0.3">
      <c r="A65" s="897"/>
      <c r="B65" s="898" t="s">
        <v>327</v>
      </c>
      <c r="C65" s="899">
        <f t="shared" si="16"/>
        <v>4.3341658499999998</v>
      </c>
      <c r="D65" s="900">
        <f t="shared" si="17"/>
        <v>13700</v>
      </c>
      <c r="E65" s="901">
        <f t="shared" si="18"/>
        <v>0.26346153846153847</v>
      </c>
      <c r="F65" s="910">
        <f>'Users 1st year'!AZ15</f>
        <v>3158</v>
      </c>
      <c r="G65" s="899">
        <f t="shared" si="23"/>
        <v>3.6406993140000004</v>
      </c>
      <c r="H65" s="900">
        <v>6000</v>
      </c>
      <c r="I65" s="901">
        <f t="shared" si="19"/>
        <v>0.15</v>
      </c>
      <c r="J65" s="910">
        <f t="shared" si="24"/>
        <v>1648.0350291295711</v>
      </c>
      <c r="K65" s="899">
        <f t="shared" si="25"/>
        <v>3.0581874237600006</v>
      </c>
      <c r="L65" s="900">
        <v>6000</v>
      </c>
      <c r="M65" s="901">
        <f t="shared" si="20"/>
        <v>0.15</v>
      </c>
      <c r="N65" s="910">
        <f t="shared" si="26"/>
        <v>1961.9464632494892</v>
      </c>
      <c r="O65" s="899">
        <f t="shared" si="27"/>
        <v>2.568877435958401</v>
      </c>
      <c r="P65" s="900">
        <v>6000</v>
      </c>
      <c r="Q65" s="901">
        <f t="shared" si="21"/>
        <v>0.15</v>
      </c>
      <c r="R65" s="910">
        <f t="shared" si="28"/>
        <v>2335.6505514874866</v>
      </c>
      <c r="S65" s="899">
        <f t="shared" si="29"/>
        <v>2.157857046205057</v>
      </c>
      <c r="T65" s="900">
        <v>6000</v>
      </c>
      <c r="U65" s="901">
        <f t="shared" si="22"/>
        <v>0.15</v>
      </c>
      <c r="V65" s="910">
        <f t="shared" si="30"/>
        <v>2780.5363708184364</v>
      </c>
    </row>
    <row r="66" spans="1:22" s="902" customFormat="1" ht="21.6" customHeight="1" x14ac:dyDescent="0.3">
      <c r="A66" s="897"/>
      <c r="B66" s="898" t="s">
        <v>250</v>
      </c>
      <c r="C66" s="899">
        <f t="shared" si="16"/>
        <v>16.513171888500001</v>
      </c>
      <c r="D66" s="900">
        <f t="shared" si="17"/>
        <v>7200</v>
      </c>
      <c r="E66" s="901">
        <f t="shared" si="18"/>
        <v>0.13846153846153847</v>
      </c>
      <c r="F66" s="910">
        <f>'Users 1st year'!AZ16</f>
        <v>432</v>
      </c>
      <c r="G66" s="899">
        <f t="shared" si="23"/>
        <v>13.871064386340002</v>
      </c>
      <c r="H66" s="900">
        <v>6000</v>
      </c>
      <c r="I66" s="901">
        <f t="shared" si="19"/>
        <v>0.15</v>
      </c>
      <c r="J66" s="910">
        <f t="shared" si="24"/>
        <v>432.55512575579291</v>
      </c>
      <c r="K66" s="899">
        <f t="shared" si="25"/>
        <v>11.651694084525603</v>
      </c>
      <c r="L66" s="900">
        <v>6000</v>
      </c>
      <c r="M66" s="901">
        <f t="shared" si="20"/>
        <v>0.15</v>
      </c>
      <c r="N66" s="910">
        <f t="shared" si="26"/>
        <v>514.94657828070581</v>
      </c>
      <c r="O66" s="899">
        <f t="shared" si="27"/>
        <v>9.7874230310015076</v>
      </c>
      <c r="P66" s="900">
        <v>6000</v>
      </c>
      <c r="Q66" s="901">
        <f t="shared" si="21"/>
        <v>0.15</v>
      </c>
      <c r="R66" s="910">
        <f t="shared" si="28"/>
        <v>613.03164081036402</v>
      </c>
      <c r="S66" s="899">
        <f t="shared" si="29"/>
        <v>8.2214353460412664</v>
      </c>
      <c r="T66" s="900">
        <v>6000</v>
      </c>
      <c r="U66" s="901">
        <f t="shared" si="22"/>
        <v>0.15</v>
      </c>
      <c r="V66" s="910">
        <f t="shared" si="30"/>
        <v>729.79957239329042</v>
      </c>
    </row>
    <row r="67" spans="1:22" s="902" customFormat="1" ht="21.6" customHeight="1" x14ac:dyDescent="0.3">
      <c r="A67" s="903"/>
      <c r="B67" s="904" t="s">
        <v>251</v>
      </c>
      <c r="C67" s="899">
        <f t="shared" si="16"/>
        <v>16.513171888500001</v>
      </c>
      <c r="D67" s="950">
        <f t="shared" si="17"/>
        <v>7200</v>
      </c>
      <c r="E67" s="951">
        <f t="shared" si="18"/>
        <v>0.13846153846153847</v>
      </c>
      <c r="F67" s="949">
        <f>'Users 1st year'!AZ17</f>
        <v>432</v>
      </c>
      <c r="G67" s="899">
        <f t="shared" si="23"/>
        <v>13.871064386340002</v>
      </c>
      <c r="H67" s="950">
        <v>6000</v>
      </c>
      <c r="I67" s="951">
        <f t="shared" si="19"/>
        <v>0.15</v>
      </c>
      <c r="J67" s="949">
        <f t="shared" si="24"/>
        <v>432.55512575579291</v>
      </c>
      <c r="K67" s="899">
        <f t="shared" si="25"/>
        <v>11.651694084525603</v>
      </c>
      <c r="L67" s="950">
        <v>6000</v>
      </c>
      <c r="M67" s="901">
        <f t="shared" si="20"/>
        <v>0.15</v>
      </c>
      <c r="N67" s="949">
        <f t="shared" si="26"/>
        <v>514.94657828070581</v>
      </c>
      <c r="O67" s="899">
        <f t="shared" si="27"/>
        <v>9.7874230310015076</v>
      </c>
      <c r="P67" s="950">
        <v>6000</v>
      </c>
      <c r="Q67" s="901">
        <f t="shared" si="21"/>
        <v>0.15</v>
      </c>
      <c r="R67" s="949">
        <f t="shared" si="28"/>
        <v>613.03164081036402</v>
      </c>
      <c r="S67" s="899">
        <f t="shared" si="29"/>
        <v>8.2214353460412664</v>
      </c>
      <c r="T67" s="950">
        <v>6000</v>
      </c>
      <c r="U67" s="901">
        <f t="shared" si="22"/>
        <v>0.15</v>
      </c>
      <c r="V67" s="949">
        <f t="shared" si="30"/>
        <v>729.79957239329042</v>
      </c>
    </row>
    <row r="68" spans="1:22" s="905" customFormat="1" ht="26.4" customHeight="1" x14ac:dyDescent="0.3">
      <c r="B68" s="906" t="s">
        <v>26</v>
      </c>
      <c r="C68" s="907"/>
      <c r="D68" s="908">
        <f>SUM(D61:D67)</f>
        <v>52000</v>
      </c>
      <c r="E68" s="909">
        <f>SUM(E61:E67)</f>
        <v>1</v>
      </c>
      <c r="F68" s="911">
        <f>SUM(F61:F67)</f>
        <v>5895</v>
      </c>
      <c r="G68" s="907"/>
      <c r="H68" s="908">
        <f>SUM(H61:H67)</f>
        <v>40000</v>
      </c>
      <c r="I68" s="909">
        <f>SUM(I61:I67)</f>
        <v>1</v>
      </c>
      <c r="J68" s="911">
        <f>SUM(J61:J67)</f>
        <v>3934.9340632977119</v>
      </c>
      <c r="K68" s="907"/>
      <c r="L68" s="908">
        <f>SUM(L61:L67)</f>
        <v>40000</v>
      </c>
      <c r="M68" s="909">
        <f>SUM(M61:M67)</f>
        <v>1</v>
      </c>
      <c r="N68" s="911">
        <f>SUM(N61:N67)</f>
        <v>4684.4453134496571</v>
      </c>
      <c r="O68" s="907"/>
      <c r="P68" s="908">
        <f>SUM(P61:P67)</f>
        <v>40000</v>
      </c>
      <c r="Q68" s="909">
        <f>SUM(Q61:Q67)</f>
        <v>1</v>
      </c>
      <c r="R68" s="911">
        <f>SUM(R61:R67)</f>
        <v>5576.7206112495915</v>
      </c>
      <c r="S68" s="907"/>
      <c r="T68" s="908">
        <f>SUM(T61:T67)</f>
        <v>40000</v>
      </c>
      <c r="U68" s="909">
        <f>SUM(U61:U67)</f>
        <v>1</v>
      </c>
      <c r="V68" s="911">
        <f>SUM(V61:V67)</f>
        <v>6638.9531086304669</v>
      </c>
    </row>
    <row r="69" spans="1:22" x14ac:dyDescent="0.3">
      <c r="B69" s="684"/>
    </row>
    <row r="70" spans="1:22" x14ac:dyDescent="0.3">
      <c r="B70" s="684"/>
    </row>
    <row r="71" spans="1:22" x14ac:dyDescent="0.3">
      <c r="B71" s="684"/>
    </row>
    <row r="72" spans="1:22" x14ac:dyDescent="0.3">
      <c r="B72" s="684"/>
    </row>
    <row r="73" spans="1:22" x14ac:dyDescent="0.3">
      <c r="B73" s="684"/>
    </row>
    <row r="74" spans="1:22" x14ac:dyDescent="0.3">
      <c r="B74" s="684"/>
    </row>
    <row r="75" spans="1:22" x14ac:dyDescent="0.3">
      <c r="B75" s="684"/>
    </row>
    <row r="76" spans="1:22" x14ac:dyDescent="0.3">
      <c r="B76" s="684"/>
    </row>
    <row r="77" spans="1:22" x14ac:dyDescent="0.3">
      <c r="B77" s="684"/>
    </row>
    <row r="78" spans="1:22" x14ac:dyDescent="0.3">
      <c r="B78" s="684"/>
    </row>
  </sheetData>
  <mergeCells count="19">
    <mergeCell ref="S59:V59"/>
    <mergeCell ref="O59:R59"/>
    <mergeCell ref="K59:N59"/>
    <mergeCell ref="G59:J59"/>
    <mergeCell ref="C59:F59"/>
    <mergeCell ref="A25:B26"/>
    <mergeCell ref="C25:F25"/>
    <mergeCell ref="G25:K25"/>
    <mergeCell ref="L25:P25"/>
    <mergeCell ref="Q25:U25"/>
    <mergeCell ref="AP25:AS25"/>
    <mergeCell ref="AT25:AW25"/>
    <mergeCell ref="AX25:BA25"/>
    <mergeCell ref="BC25:BD25"/>
    <mergeCell ref="V25:Y25"/>
    <mergeCell ref="Z25:AC25"/>
    <mergeCell ref="AD25:AG25"/>
    <mergeCell ref="AH25:AK25"/>
    <mergeCell ref="AL25:AO25"/>
  </mergeCells>
  <pageMargins left="0.7" right="0.7" top="0.75" bottom="0.75" header="0.3" footer="0.3"/>
  <pageSetup orientation="portrait" horizontalDpi="360" verticalDpi="36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3AB4E-0877-4903-BC1D-AEB7D293D349}">
  <dimension ref="A1:BH53"/>
  <sheetViews>
    <sheetView workbookViewId="0">
      <pane xSplit="2" ySplit="1" topLeftCell="C2" activePane="bottomRight" state="frozen"/>
      <selection pane="topRight" activeCell="C1" sqref="C1"/>
      <selection pane="bottomLeft" activeCell="A2" sqref="A2"/>
      <selection pane="bottomRight" activeCell="G16" sqref="G16"/>
    </sheetView>
  </sheetViews>
  <sheetFormatPr defaultRowHeight="14.4" x14ac:dyDescent="0.3"/>
  <cols>
    <col min="1" max="1" width="31.21875" style="2" customWidth="1"/>
    <col min="2" max="2" width="6.33203125" style="2" customWidth="1"/>
    <col min="3" max="3" width="10.21875" style="10" customWidth="1"/>
    <col min="4" max="4" width="8.6640625" style="10" customWidth="1"/>
    <col min="5" max="5" width="9.109375" style="10" customWidth="1"/>
    <col min="6" max="6" width="9.44140625" style="10" customWidth="1"/>
    <col min="7" max="7" width="9" style="10" customWidth="1"/>
    <col min="8" max="8" width="8" style="10" customWidth="1"/>
    <col min="9" max="9" width="9.109375" style="10" customWidth="1"/>
    <col min="10" max="10" width="8" style="10" customWidth="1"/>
    <col min="11" max="11" width="10.21875" style="10" customWidth="1"/>
    <col min="12" max="12" width="8" style="10" customWidth="1"/>
    <col min="13" max="13" width="9.109375" style="10" customWidth="1"/>
    <col min="14" max="14" width="8" style="10" customWidth="1"/>
    <col min="15" max="15" width="10.21875" style="10" customWidth="1"/>
    <col min="16" max="16" width="8.77734375" style="10" customWidth="1"/>
    <col min="17" max="17" width="9.109375" style="10" customWidth="1"/>
    <col min="18" max="24" width="8" style="10" customWidth="1"/>
    <col min="25" max="25" width="10.5546875" style="10" customWidth="1"/>
    <col min="26" max="28" width="8" style="10" customWidth="1"/>
    <col min="29" max="29" width="10.5546875" style="10" customWidth="1"/>
    <col min="30" max="32" width="8" style="10" customWidth="1"/>
    <col min="33" max="33" width="11.5546875" style="10" customWidth="1"/>
    <col min="34" max="36" width="8" style="10" customWidth="1"/>
    <col min="37" max="37" width="11.5546875" style="10" customWidth="1"/>
    <col min="38" max="39" width="8" style="10" customWidth="1"/>
    <col min="40" max="40" width="9.88671875" style="10" customWidth="1"/>
    <col min="41" max="41" width="11.5546875" style="10" customWidth="1"/>
    <col min="42" max="42" width="9.21875" style="10" customWidth="1"/>
    <col min="43" max="43" width="8" style="10" customWidth="1"/>
    <col min="44" max="45" width="11.5546875" style="10" customWidth="1"/>
    <col min="46" max="46" width="11.5546875" style="2" customWidth="1"/>
    <col min="47" max="47" width="8.88671875" style="2"/>
    <col min="48" max="48" width="11.77734375" style="2" customWidth="1"/>
    <col min="49" max="49" width="11.5546875" style="2" customWidth="1"/>
    <col min="50" max="50" width="11.44140625" style="2" customWidth="1"/>
    <col min="51" max="51" width="7.33203125" style="2" customWidth="1"/>
    <col min="52" max="52" width="16.88671875" style="2" customWidth="1"/>
    <col min="53" max="53" width="11.77734375" style="2" customWidth="1"/>
    <col min="54" max="54" width="11.44140625" style="2" customWidth="1"/>
    <col min="55" max="55" width="7.6640625" style="2" customWidth="1"/>
    <col min="56" max="56" width="22" style="2" customWidth="1"/>
    <col min="57" max="16384" width="8.88671875" style="2"/>
  </cols>
  <sheetData>
    <row r="1" spans="1:60" s="431" customFormat="1" ht="26.4" customHeight="1" x14ac:dyDescent="0.3">
      <c r="A1" s="432" t="s">
        <v>101</v>
      </c>
      <c r="B1" s="433"/>
      <c r="C1" s="979" t="s">
        <v>8</v>
      </c>
      <c r="D1" s="980"/>
      <c r="E1" s="980"/>
      <c r="F1" s="981"/>
      <c r="G1" s="979" t="s">
        <v>9</v>
      </c>
      <c r="H1" s="980"/>
      <c r="I1" s="980"/>
      <c r="J1" s="981"/>
      <c r="K1" s="979" t="s">
        <v>10</v>
      </c>
      <c r="L1" s="980"/>
      <c r="M1" s="980"/>
      <c r="N1" s="981"/>
      <c r="O1" s="979" t="s">
        <v>11</v>
      </c>
      <c r="P1" s="980"/>
      <c r="Q1" s="980"/>
      <c r="R1" s="981"/>
      <c r="S1" s="979" t="s">
        <v>12</v>
      </c>
      <c r="T1" s="980"/>
      <c r="U1" s="980"/>
      <c r="V1" s="981"/>
      <c r="W1" s="979" t="s">
        <v>13</v>
      </c>
      <c r="X1" s="980"/>
      <c r="Y1" s="980"/>
      <c r="Z1" s="981"/>
      <c r="AA1" s="979" t="s">
        <v>14</v>
      </c>
      <c r="AB1" s="980"/>
      <c r="AC1" s="980"/>
      <c r="AD1" s="981"/>
      <c r="AE1" s="979" t="s">
        <v>15</v>
      </c>
      <c r="AF1" s="980"/>
      <c r="AG1" s="980"/>
      <c r="AH1" s="981"/>
      <c r="AI1" s="979" t="s">
        <v>16</v>
      </c>
      <c r="AJ1" s="980"/>
      <c r="AK1" s="980"/>
      <c r="AL1" s="981"/>
      <c r="AM1" s="979" t="s">
        <v>17</v>
      </c>
      <c r="AN1" s="980"/>
      <c r="AO1" s="980"/>
      <c r="AP1" s="981"/>
      <c r="AQ1" s="979" t="s">
        <v>18</v>
      </c>
      <c r="AR1" s="980"/>
      <c r="AS1" s="980"/>
      <c r="AT1" s="981"/>
      <c r="AU1" s="979" t="s">
        <v>19</v>
      </c>
      <c r="AV1" s="980"/>
      <c r="AW1" s="980"/>
      <c r="AX1" s="981"/>
      <c r="AY1" s="483"/>
      <c r="AZ1" s="982" t="s">
        <v>20</v>
      </c>
      <c r="BA1" s="982"/>
      <c r="BB1" s="982"/>
      <c r="BD1" s="480"/>
      <c r="BE1" s="481"/>
    </row>
    <row r="2" spans="1:60" s="37" customFormat="1" ht="42" customHeight="1" x14ac:dyDescent="0.3">
      <c r="A2" s="57"/>
      <c r="B2" s="434"/>
      <c r="C2" s="229" t="s">
        <v>206</v>
      </c>
      <c r="D2" s="450" t="s">
        <v>102</v>
      </c>
      <c r="E2" s="488" t="s">
        <v>228</v>
      </c>
      <c r="F2" s="457" t="s">
        <v>217</v>
      </c>
      <c r="G2" s="229" t="s">
        <v>206</v>
      </c>
      <c r="H2" s="450" t="s">
        <v>102</v>
      </c>
      <c r="I2" s="488" t="s">
        <v>228</v>
      </c>
      <c r="J2" s="457" t="s">
        <v>217</v>
      </c>
      <c r="K2" s="229" t="s">
        <v>206</v>
      </c>
      <c r="L2" s="450" t="s">
        <v>102</v>
      </c>
      <c r="M2" s="488" t="s">
        <v>228</v>
      </c>
      <c r="N2" s="457" t="s">
        <v>217</v>
      </c>
      <c r="O2" s="229" t="s">
        <v>206</v>
      </c>
      <c r="P2" s="450" t="s">
        <v>102</v>
      </c>
      <c r="Q2" s="488" t="s">
        <v>228</v>
      </c>
      <c r="R2" s="457" t="s">
        <v>217</v>
      </c>
      <c r="S2" s="229" t="s">
        <v>206</v>
      </c>
      <c r="T2" s="450" t="s">
        <v>102</v>
      </c>
      <c r="U2" s="488" t="s">
        <v>228</v>
      </c>
      <c r="V2" s="457" t="s">
        <v>217</v>
      </c>
      <c r="W2" s="229" t="s">
        <v>206</v>
      </c>
      <c r="X2" s="450" t="s">
        <v>102</v>
      </c>
      <c r="Y2" s="488" t="s">
        <v>228</v>
      </c>
      <c r="Z2" s="457" t="s">
        <v>217</v>
      </c>
      <c r="AA2" s="229" t="s">
        <v>206</v>
      </c>
      <c r="AB2" s="450" t="s">
        <v>102</v>
      </c>
      <c r="AC2" s="488" t="s">
        <v>228</v>
      </c>
      <c r="AD2" s="457" t="s">
        <v>217</v>
      </c>
      <c r="AE2" s="229" t="s">
        <v>206</v>
      </c>
      <c r="AF2" s="450" t="s">
        <v>102</v>
      </c>
      <c r="AG2" s="488" t="s">
        <v>228</v>
      </c>
      <c r="AH2" s="457" t="s">
        <v>217</v>
      </c>
      <c r="AI2" s="229" t="s">
        <v>206</v>
      </c>
      <c r="AJ2" s="450" t="s">
        <v>102</v>
      </c>
      <c r="AK2" s="488" t="s">
        <v>228</v>
      </c>
      <c r="AL2" s="457" t="s">
        <v>217</v>
      </c>
      <c r="AM2" s="229" t="s">
        <v>206</v>
      </c>
      <c r="AN2" s="450" t="s">
        <v>102</v>
      </c>
      <c r="AO2" s="488" t="s">
        <v>228</v>
      </c>
      <c r="AP2" s="457" t="s">
        <v>217</v>
      </c>
      <c r="AQ2" s="229" t="s">
        <v>206</v>
      </c>
      <c r="AR2" s="450" t="s">
        <v>102</v>
      </c>
      <c r="AS2" s="488" t="s">
        <v>228</v>
      </c>
      <c r="AT2" s="457" t="s">
        <v>217</v>
      </c>
      <c r="AU2" s="229" t="s">
        <v>206</v>
      </c>
      <c r="AV2" s="450" t="s">
        <v>102</v>
      </c>
      <c r="AW2" s="488" t="s">
        <v>228</v>
      </c>
      <c r="AX2" s="457" t="s">
        <v>217</v>
      </c>
      <c r="AY2" s="230"/>
      <c r="AZ2" s="450" t="s">
        <v>212</v>
      </c>
      <c r="BA2" s="492" t="s">
        <v>229</v>
      </c>
      <c r="BB2" s="457" t="s">
        <v>220</v>
      </c>
      <c r="BD2" s="987" t="s">
        <v>211</v>
      </c>
      <c r="BE2" s="988"/>
      <c r="BF2" s="230"/>
    </row>
    <row r="3" spans="1:60" ht="19.2" customHeight="1" x14ac:dyDescent="0.3">
      <c r="A3" s="59" t="s">
        <v>95</v>
      </c>
      <c r="B3" s="435"/>
      <c r="C3" s="231">
        <v>0</v>
      </c>
      <c r="D3" s="451">
        <f>INT((D$18+D$24)*$B$36)</f>
        <v>30</v>
      </c>
      <c r="E3" s="489">
        <f>D3</f>
        <v>30</v>
      </c>
      <c r="F3" s="458">
        <f>-(F29*C3+F29/2*D3)</f>
        <v>-0.3</v>
      </c>
      <c r="G3" s="231">
        <f>E3+F3</f>
        <v>29.7</v>
      </c>
      <c r="H3" s="451">
        <f>INT((H$18+H$24)*$B$36)</f>
        <v>31</v>
      </c>
      <c r="I3" s="489">
        <f>G3+H3</f>
        <v>60.7</v>
      </c>
      <c r="J3" s="458">
        <f>-(J29*G3+J29/2*H3)</f>
        <v>-0.90399999999999991</v>
      </c>
      <c r="K3" s="231">
        <f>I3+J3</f>
        <v>59.796000000000006</v>
      </c>
      <c r="L3" s="451">
        <f>INT((L$18+L$24)*$B$36)</f>
        <v>525</v>
      </c>
      <c r="M3" s="489">
        <f>K3+L3</f>
        <v>584.79600000000005</v>
      </c>
      <c r="N3" s="458">
        <f>-(N29*K3+N29/2*L3)</f>
        <v>-6.4459200000000001</v>
      </c>
      <c r="O3" s="231">
        <f>M3+N3</f>
        <v>578.35008000000005</v>
      </c>
      <c r="P3" s="451">
        <f>INT((P$18+P$24)*$B$36)</f>
        <v>541</v>
      </c>
      <c r="Q3" s="489">
        <f>O3+P3</f>
        <v>1119.3500800000002</v>
      </c>
      <c r="R3" s="458">
        <f>-(R29*O3+R29/2*P3)</f>
        <v>-16.977001600000001</v>
      </c>
      <c r="S3" s="231">
        <f>Q3+R3</f>
        <v>1102.3730784000002</v>
      </c>
      <c r="T3" s="451">
        <f>INT((T$18+T$24)*$B$36)</f>
        <v>621</v>
      </c>
      <c r="U3" s="489">
        <f>S3+T3</f>
        <v>1723.3730784000002</v>
      </c>
      <c r="V3" s="458">
        <f>-(V29*S3+V29/2*T3)</f>
        <v>-28.257461568000004</v>
      </c>
      <c r="W3" s="231">
        <f>U3+V3</f>
        <v>1695.1156168320001</v>
      </c>
      <c r="X3" s="451">
        <f>INT((X$18+X$24)*$B$36)</f>
        <v>501</v>
      </c>
      <c r="Y3" s="489">
        <f>W3+X3</f>
        <v>2196.1156168320003</v>
      </c>
      <c r="Z3" s="458">
        <f>-(Z29*W3+Z29/2*X3)</f>
        <v>-38.912312336639999</v>
      </c>
      <c r="AA3" s="231">
        <f>Y3+Z3</f>
        <v>2157.2033044953605</v>
      </c>
      <c r="AB3" s="451">
        <f>INT((AB$18+AB$24)*$B$36)</f>
        <v>516</v>
      </c>
      <c r="AC3" s="489">
        <f>AA3+AB3</f>
        <v>2673.2033044953605</v>
      </c>
      <c r="AD3" s="458">
        <f>-(AD29*AA3+AD29/2*AB3)</f>
        <v>-48.304066089907209</v>
      </c>
      <c r="AE3" s="231">
        <f>AC3+AD3</f>
        <v>2624.8992384054532</v>
      </c>
      <c r="AF3" s="451">
        <f>INT((AF$18+AF$24)*$B$36)</f>
        <v>644</v>
      </c>
      <c r="AG3" s="489">
        <f>AE3+AF3</f>
        <v>3268.8992384054532</v>
      </c>
      <c r="AH3" s="458">
        <f>-(AH29*AE3+AH29/2*AF3)</f>
        <v>-58.937984768109061</v>
      </c>
      <c r="AI3" s="231">
        <f>AG3+AH3</f>
        <v>3209.9612536373443</v>
      </c>
      <c r="AJ3" s="451">
        <f>INT((AJ$18+AJ$24)*$B$36)</f>
        <v>675</v>
      </c>
      <c r="AK3" s="489">
        <f>AI3+AJ3</f>
        <v>3884.9612536373443</v>
      </c>
      <c r="AL3" s="458">
        <f>-(AL29*AI3+AL29/2*AJ3)</f>
        <v>-70.949225072746884</v>
      </c>
      <c r="AM3" s="231">
        <f>AK3+AL3</f>
        <v>3814.0120285645976</v>
      </c>
      <c r="AN3" s="451">
        <f>INT((AN$18+AN$24)*$B$36)</f>
        <v>682</v>
      </c>
      <c r="AO3" s="489">
        <f>AM3+AN3</f>
        <v>4496.0120285645971</v>
      </c>
      <c r="AP3" s="458">
        <f>-(AP29*AM3+AP29/2*AN3)</f>
        <v>-83.100240571291948</v>
      </c>
      <c r="AQ3" s="231">
        <f>AO3+AP3</f>
        <v>4412.9117879933056</v>
      </c>
      <c r="AR3" s="451">
        <f>INT((AR$18+AR$24)*$B$36)</f>
        <v>699</v>
      </c>
      <c r="AS3" s="489">
        <f>AQ3+AR3</f>
        <v>5111.9117879933056</v>
      </c>
      <c r="AT3" s="458">
        <f>-(AT29*AQ3+AT29/2*AR3)</f>
        <v>-95.248235759866105</v>
      </c>
      <c r="AU3" s="231">
        <f>AS3+AT3</f>
        <v>5016.6635522334391</v>
      </c>
      <c r="AV3" s="451">
        <f>INT((AV$18+AV$24)*$B$36)</f>
        <v>694</v>
      </c>
      <c r="AW3" s="489">
        <f>AU3+AV3</f>
        <v>5710.6635522334391</v>
      </c>
      <c r="AX3" s="458">
        <f>-(AX29*AU3+AX29/2*AV3)</f>
        <v>-107.27327104466877</v>
      </c>
      <c r="AY3" s="232"/>
      <c r="AZ3" s="451">
        <f t="shared" ref="AZ3:BB5" si="0">D3+H3+L3+P3+T3+X3+AB3+AF3+AJ3+AN3+AR3+AV3</f>
        <v>6159</v>
      </c>
      <c r="BA3" s="493">
        <f t="shared" si="0"/>
        <v>30859.985940561499</v>
      </c>
      <c r="BB3" s="458">
        <f t="shared" si="0"/>
        <v>-555.6097188112301</v>
      </c>
      <c r="BC3" s="55"/>
      <c r="BD3" s="59" t="s">
        <v>95</v>
      </c>
      <c r="BE3" s="482">
        <f>AW3+AX3</f>
        <v>5603.3902811887701</v>
      </c>
      <c r="BF3" s="55"/>
      <c r="BG3" s="428"/>
      <c r="BH3" s="55"/>
    </row>
    <row r="4" spans="1:60" ht="19.2" customHeight="1" x14ac:dyDescent="0.3">
      <c r="A4" s="59" t="s">
        <v>96</v>
      </c>
      <c r="B4" s="435"/>
      <c r="C4" s="231">
        <v>0</v>
      </c>
      <c r="D4" s="451">
        <f>INT((D$18+D$24)*$B$37)</f>
        <v>2</v>
      </c>
      <c r="E4" s="489">
        <f>D4</f>
        <v>2</v>
      </c>
      <c r="F4" s="458">
        <f>-(F30*C4+F30/2*D4)</f>
        <v>-0.3</v>
      </c>
      <c r="G4" s="231">
        <f>E4+F4</f>
        <v>1.7</v>
      </c>
      <c r="H4" s="451">
        <f>INT((H$18+H$24)*$B$37)</f>
        <v>2</v>
      </c>
      <c r="I4" s="489">
        <f>G4+H4</f>
        <v>3.7</v>
      </c>
      <c r="J4" s="458">
        <f>-(J30*G4+J30/2*H4)</f>
        <v>-0.81</v>
      </c>
      <c r="K4" s="231">
        <f>I4+J4</f>
        <v>2.89</v>
      </c>
      <c r="L4" s="451">
        <f>INT((L$18+L$24)*$B$37)</f>
        <v>46</v>
      </c>
      <c r="M4" s="489">
        <f>K4+L4</f>
        <v>48.89</v>
      </c>
      <c r="N4" s="458">
        <f>-(N30*K4+N30/2*L4)</f>
        <v>-7.2492000000000001</v>
      </c>
      <c r="O4" s="231">
        <f>M4+N4</f>
        <v>41.640799999999999</v>
      </c>
      <c r="P4" s="451">
        <f>INT((P$18+P$24)*$B$37)</f>
        <v>48</v>
      </c>
      <c r="Q4" s="489">
        <f>O4+P4</f>
        <v>89.640799999999999</v>
      </c>
      <c r="R4" s="458">
        <f>-(R30*O4+R30/2*P4)</f>
        <v>-17.066608000000002</v>
      </c>
      <c r="S4" s="231">
        <f>Q4+R4</f>
        <v>72.574191999999996</v>
      </c>
      <c r="T4" s="451">
        <f>INT((T$18+T$24)*$B$37)</f>
        <v>55</v>
      </c>
      <c r="U4" s="489">
        <f>S4+T4</f>
        <v>127.574192</v>
      </c>
      <c r="V4" s="458">
        <f>-(V30*S4+V30/2*T4)</f>
        <v>-25.018547999999999</v>
      </c>
      <c r="W4" s="231">
        <f>U4+V4</f>
        <v>102.555644</v>
      </c>
      <c r="X4" s="451">
        <f>INT((X$18+X$24)*$B$37)</f>
        <v>44</v>
      </c>
      <c r="Y4" s="489">
        <f>W4+X4</f>
        <v>146.555644</v>
      </c>
      <c r="Z4" s="458">
        <f>-(Z30*W4+Z30/2*X4)</f>
        <v>-31.138911</v>
      </c>
      <c r="AA4" s="231">
        <f>Y4+Z4</f>
        <v>115.41673299999999</v>
      </c>
      <c r="AB4" s="451">
        <f>INT((AB$18+AB$24)*$B$37)</f>
        <v>45</v>
      </c>
      <c r="AC4" s="489">
        <f>AA4+AB4</f>
        <v>160.41673299999999</v>
      </c>
      <c r="AD4" s="458">
        <f>-(AD30*AA4+AD30/2*AB4)</f>
        <v>-33.100015919999997</v>
      </c>
      <c r="AE4" s="231">
        <f>AC4+AD4</f>
        <v>127.31671707999999</v>
      </c>
      <c r="AF4" s="451">
        <f>INT((AF$18+AF$24)*$B$37)</f>
        <v>57</v>
      </c>
      <c r="AG4" s="489">
        <f>AE4+AF4</f>
        <v>184.31671707999999</v>
      </c>
      <c r="AH4" s="458">
        <f>-(AH30*AE4+AH30/2*AF4)</f>
        <v>-37.396012099199993</v>
      </c>
      <c r="AI4" s="231">
        <f>AG4+AH4</f>
        <v>146.9207049808</v>
      </c>
      <c r="AJ4" s="451">
        <f>INT((AJ$18+AJ$24)*$B$37)</f>
        <v>60</v>
      </c>
      <c r="AK4" s="489">
        <f>AI4+AJ4</f>
        <v>206.9207049808</v>
      </c>
      <c r="AL4" s="458">
        <f>-(AL30*AI4+AL30/2*AJ4)</f>
        <v>-40.691762145584001</v>
      </c>
      <c r="AM4" s="231">
        <f>AK4+AL4</f>
        <v>166.228942835216</v>
      </c>
      <c r="AN4" s="451">
        <f>INT((AN$18+AN$24)*$B$37)</f>
        <v>60</v>
      </c>
      <c r="AO4" s="489">
        <f>AM4+AN4</f>
        <v>226.228942835216</v>
      </c>
      <c r="AP4" s="458">
        <f>-(AP30*AM4+AP30/2*AN4)</f>
        <v>-45.132656852099679</v>
      </c>
      <c r="AQ4" s="231">
        <f>AO4+AP4</f>
        <v>181.09628598311633</v>
      </c>
      <c r="AR4" s="451">
        <f>INT((AR$18+AR$24)*$B$37)</f>
        <v>62</v>
      </c>
      <c r="AS4" s="489">
        <f>AQ4+AR4</f>
        <v>243.09628598311633</v>
      </c>
      <c r="AT4" s="458">
        <f>-(AT30*AQ4+AT30/2*AR4)</f>
        <v>-46.661182916285597</v>
      </c>
      <c r="AU4" s="231">
        <f>AS4+AT4</f>
        <v>196.43510306683072</v>
      </c>
      <c r="AV4" s="451">
        <f>INT((AV$18+AV$24)*$B$37)</f>
        <v>61</v>
      </c>
      <c r="AW4" s="489">
        <f>AU4+AV4</f>
        <v>257.43510306683072</v>
      </c>
      <c r="AX4" s="458">
        <f>-(AX30*AU4+AX30/2*AV4)</f>
        <v>-49.925722674702762</v>
      </c>
      <c r="AY4" s="232"/>
      <c r="AZ4" s="451">
        <f t="shared" si="0"/>
        <v>542</v>
      </c>
      <c r="BA4" s="493">
        <f t="shared" si="0"/>
        <v>1696.7751229459632</v>
      </c>
      <c r="BB4" s="458">
        <f t="shared" si="0"/>
        <v>-334.49061960787202</v>
      </c>
      <c r="BC4" s="55"/>
      <c r="BD4" s="59" t="s">
        <v>96</v>
      </c>
      <c r="BE4" s="482">
        <f>AW4+AX4</f>
        <v>207.50938039212795</v>
      </c>
      <c r="BF4" s="55"/>
      <c r="BG4" s="428"/>
      <c r="BH4" s="55"/>
    </row>
    <row r="5" spans="1:60" ht="19.2" customHeight="1" x14ac:dyDescent="0.3">
      <c r="A5" s="59" t="s">
        <v>97</v>
      </c>
      <c r="B5" s="435"/>
      <c r="C5" s="233">
        <v>0</v>
      </c>
      <c r="D5" s="452">
        <f>INT((D$18+D$24)*$B$38)</f>
        <v>0</v>
      </c>
      <c r="E5" s="490">
        <f>D5</f>
        <v>0</v>
      </c>
      <c r="F5" s="459">
        <f>-(F31*C5+F31/2*D5)</f>
        <v>0</v>
      </c>
      <c r="G5" s="233">
        <f>E5+F5</f>
        <v>0</v>
      </c>
      <c r="H5" s="452">
        <f>INT((H$18+H$24)*$B$38)</f>
        <v>0</v>
      </c>
      <c r="I5" s="490">
        <f>G5+H5</f>
        <v>0</v>
      </c>
      <c r="J5" s="459">
        <f>-(J31*G5+J31/2*H5)</f>
        <v>0</v>
      </c>
      <c r="K5" s="233">
        <f>I5+J5</f>
        <v>0</v>
      </c>
      <c r="L5" s="452">
        <f>INT((L$18+L$24)*$B$38)</f>
        <v>11</v>
      </c>
      <c r="M5" s="490">
        <f>K5+L5</f>
        <v>11</v>
      </c>
      <c r="N5" s="459">
        <f>-(N31*K5+N31/2*L5)</f>
        <v>-1.65</v>
      </c>
      <c r="O5" s="233">
        <f>M5+N5</f>
        <v>9.35</v>
      </c>
      <c r="P5" s="452">
        <f>INT((P$18+P$24)*$B$38)</f>
        <v>12</v>
      </c>
      <c r="Q5" s="490">
        <f>O5+P5</f>
        <v>21.35</v>
      </c>
      <c r="R5" s="459">
        <f>-(R31*O5+R31/2*P5)</f>
        <v>-3.8374999999999999</v>
      </c>
      <c r="S5" s="233">
        <f>Q5+R5</f>
        <v>17.512500000000003</v>
      </c>
      <c r="T5" s="452">
        <f>INT((T$18+T$24)*$B$38)</f>
        <v>13</v>
      </c>
      <c r="U5" s="490">
        <f>S5+T5</f>
        <v>30.512500000000003</v>
      </c>
      <c r="V5" s="459">
        <f>-(V31*S5+V31/2*T5)</f>
        <v>-5.2827500000000009</v>
      </c>
      <c r="W5" s="233">
        <f>U5+V5</f>
        <v>25.229750000000003</v>
      </c>
      <c r="X5" s="452">
        <f>INT((X$18+X$24)*$B$38)</f>
        <v>11</v>
      </c>
      <c r="Y5" s="490">
        <f>W5+X5</f>
        <v>36.229750000000003</v>
      </c>
      <c r="Z5" s="459">
        <f>-(Z31*W5+Z31/2*X5)</f>
        <v>-6.7605450000000005</v>
      </c>
      <c r="AA5" s="233">
        <f>Y5+Z5</f>
        <v>29.469205000000002</v>
      </c>
      <c r="AB5" s="452">
        <f>INT((AB$18+AB$24)*$B$38)</f>
        <v>11</v>
      </c>
      <c r="AC5" s="490">
        <f>AA5+AB5</f>
        <v>40.469205000000002</v>
      </c>
      <c r="AD5" s="459">
        <f>-(AD31*AA5+AD31/2*AB5)</f>
        <v>-7.3435330500000005</v>
      </c>
      <c r="AE5" s="233">
        <f>AC5+AD5</f>
        <v>33.125671950000005</v>
      </c>
      <c r="AF5" s="452">
        <f>INT((AF$18+AF$24)*$B$38)</f>
        <v>14</v>
      </c>
      <c r="AG5" s="490">
        <f>AE5+AF5</f>
        <v>47.125671950000005</v>
      </c>
      <c r="AH5" s="459">
        <f>-(AH31*AE5+AH31/2*AF5)</f>
        <v>-8.4263911095000008</v>
      </c>
      <c r="AI5" s="233">
        <f>AG5+AH5</f>
        <v>38.699280840500002</v>
      </c>
      <c r="AJ5" s="452">
        <f>INT((AJ$18+AJ$24)*$B$38)</f>
        <v>15</v>
      </c>
      <c r="AK5" s="490">
        <f>AI5+AJ5</f>
        <v>53.699280840500002</v>
      </c>
      <c r="AL5" s="459">
        <f>-(AL31*AI5+AL31/2*AJ5)</f>
        <v>-9.2398561681000011</v>
      </c>
      <c r="AM5" s="233">
        <f>AK5+AL5</f>
        <v>44.459424672400004</v>
      </c>
      <c r="AN5" s="452">
        <f>INT((AN$18+AN$24)*$B$38)</f>
        <v>15</v>
      </c>
      <c r="AO5" s="490">
        <f>AM5+AN5</f>
        <v>59.459424672400004</v>
      </c>
      <c r="AP5" s="459">
        <f>-(AP31*AM5+AP31/2*AN5)</f>
        <v>-10.391884934480002</v>
      </c>
      <c r="AQ5" s="233">
        <f>AO5+AP5</f>
        <v>49.067539737920001</v>
      </c>
      <c r="AR5" s="452">
        <f>INT((AR$18+AR$24)*$B$38)</f>
        <v>15</v>
      </c>
      <c r="AS5" s="490">
        <f>AQ5+AR5</f>
        <v>64.067539737920001</v>
      </c>
      <c r="AT5" s="459">
        <f>-(AT31*AQ5+AT31/2*AR5)</f>
        <v>-10.747832550204802</v>
      </c>
      <c r="AU5" s="233">
        <f>AS5+AT5</f>
        <v>53.319707187715196</v>
      </c>
      <c r="AV5" s="452">
        <f>INT((AV$18+AV$24)*$B$38)</f>
        <v>15</v>
      </c>
      <c r="AW5" s="490">
        <f>AU5+AV5</f>
        <v>68.319707187715196</v>
      </c>
      <c r="AX5" s="459">
        <f>-(AX31*AU5+AX31/2*AV5)</f>
        <v>-11.555744365665888</v>
      </c>
      <c r="AY5" s="232"/>
      <c r="AZ5" s="452">
        <f t="shared" si="0"/>
        <v>132</v>
      </c>
      <c r="BA5" s="494">
        <f t="shared" si="0"/>
        <v>432.23307938853526</v>
      </c>
      <c r="BB5" s="459">
        <f t="shared" si="0"/>
        <v>-75.236037177950706</v>
      </c>
      <c r="BC5" s="55"/>
      <c r="BD5" s="59" t="s">
        <v>97</v>
      </c>
      <c r="BE5" s="448">
        <f>AW5+AX5</f>
        <v>56.763962822049308</v>
      </c>
      <c r="BF5" s="55"/>
      <c r="BG5" s="428"/>
      <c r="BH5" s="55"/>
    </row>
    <row r="6" spans="1:60" s="3" customFormat="1" ht="28.2" customHeight="1" x14ac:dyDescent="0.3">
      <c r="A6" s="429" t="s">
        <v>26</v>
      </c>
      <c r="B6" s="436"/>
      <c r="C6" s="437">
        <f t="shared" ref="C6:AX6" si="1">SUM(C3:C5)</f>
        <v>0</v>
      </c>
      <c r="D6" s="453">
        <f t="shared" si="1"/>
        <v>32</v>
      </c>
      <c r="E6" s="491">
        <f t="shared" si="1"/>
        <v>32</v>
      </c>
      <c r="F6" s="460">
        <f t="shared" si="1"/>
        <v>-0.6</v>
      </c>
      <c r="G6" s="437">
        <f t="shared" si="1"/>
        <v>31.4</v>
      </c>
      <c r="H6" s="453">
        <f t="shared" si="1"/>
        <v>33</v>
      </c>
      <c r="I6" s="491">
        <f t="shared" si="1"/>
        <v>64.400000000000006</v>
      </c>
      <c r="J6" s="460">
        <f t="shared" si="1"/>
        <v>-1.714</v>
      </c>
      <c r="K6" s="437">
        <f t="shared" si="1"/>
        <v>62.686000000000007</v>
      </c>
      <c r="L6" s="453">
        <f t="shared" si="1"/>
        <v>582</v>
      </c>
      <c r="M6" s="491">
        <f t="shared" si="1"/>
        <v>644.68600000000004</v>
      </c>
      <c r="N6" s="460">
        <f t="shared" si="1"/>
        <v>-15.34512</v>
      </c>
      <c r="O6" s="437">
        <f t="shared" si="1"/>
        <v>629.34088000000008</v>
      </c>
      <c r="P6" s="453">
        <f t="shared" si="1"/>
        <v>601</v>
      </c>
      <c r="Q6" s="491">
        <f t="shared" si="1"/>
        <v>1230.34088</v>
      </c>
      <c r="R6" s="460">
        <f t="shared" si="1"/>
        <v>-37.881109600000002</v>
      </c>
      <c r="S6" s="437">
        <f t="shared" si="1"/>
        <v>1192.4597704000003</v>
      </c>
      <c r="T6" s="453">
        <f t="shared" si="1"/>
        <v>689</v>
      </c>
      <c r="U6" s="491">
        <f t="shared" si="1"/>
        <v>1881.4597704000003</v>
      </c>
      <c r="V6" s="460">
        <f t="shared" si="1"/>
        <v>-58.558759568000006</v>
      </c>
      <c r="W6" s="437">
        <f t="shared" si="1"/>
        <v>1822.9010108320001</v>
      </c>
      <c r="X6" s="453">
        <f t="shared" si="1"/>
        <v>556</v>
      </c>
      <c r="Y6" s="491">
        <f t="shared" si="1"/>
        <v>2378.9010108320003</v>
      </c>
      <c r="Z6" s="460">
        <f t="shared" si="1"/>
        <v>-76.81176833664</v>
      </c>
      <c r="AA6" s="437">
        <f t="shared" si="1"/>
        <v>2302.0892424953604</v>
      </c>
      <c r="AB6" s="453">
        <f t="shared" si="1"/>
        <v>572</v>
      </c>
      <c r="AC6" s="491">
        <f t="shared" si="1"/>
        <v>2874.0892424953604</v>
      </c>
      <c r="AD6" s="460">
        <f t="shared" si="1"/>
        <v>-88.747615059907204</v>
      </c>
      <c r="AE6" s="437">
        <f t="shared" si="1"/>
        <v>2785.3416274354536</v>
      </c>
      <c r="AF6" s="453">
        <f t="shared" si="1"/>
        <v>715</v>
      </c>
      <c r="AG6" s="491">
        <f t="shared" si="1"/>
        <v>3500.3416274354536</v>
      </c>
      <c r="AH6" s="460">
        <f t="shared" si="1"/>
        <v>-104.76038797680906</v>
      </c>
      <c r="AI6" s="437">
        <f t="shared" si="1"/>
        <v>3395.5812394586442</v>
      </c>
      <c r="AJ6" s="453">
        <f t="shared" si="1"/>
        <v>750</v>
      </c>
      <c r="AK6" s="491">
        <f t="shared" si="1"/>
        <v>4145.5812394586446</v>
      </c>
      <c r="AL6" s="460">
        <f t="shared" si="1"/>
        <v>-120.88084338643088</v>
      </c>
      <c r="AM6" s="437">
        <f t="shared" si="1"/>
        <v>4024.7003960722136</v>
      </c>
      <c r="AN6" s="453">
        <f t="shared" si="1"/>
        <v>757</v>
      </c>
      <c r="AO6" s="491">
        <f t="shared" si="1"/>
        <v>4781.7003960722132</v>
      </c>
      <c r="AP6" s="460">
        <f t="shared" si="1"/>
        <v>-138.62478235787162</v>
      </c>
      <c r="AQ6" s="437">
        <f t="shared" si="1"/>
        <v>4643.0756137143417</v>
      </c>
      <c r="AR6" s="453">
        <f t="shared" si="1"/>
        <v>776</v>
      </c>
      <c r="AS6" s="491">
        <f t="shared" si="1"/>
        <v>5419.0756137143417</v>
      </c>
      <c r="AT6" s="460">
        <f t="shared" si="1"/>
        <v>-152.65725122635649</v>
      </c>
      <c r="AU6" s="437">
        <f t="shared" si="1"/>
        <v>5266.4183624879843</v>
      </c>
      <c r="AV6" s="453">
        <f t="shared" si="1"/>
        <v>770</v>
      </c>
      <c r="AW6" s="491">
        <f t="shared" si="1"/>
        <v>6036.4183624879843</v>
      </c>
      <c r="AX6" s="460">
        <f t="shared" si="1"/>
        <v>-168.75473808503745</v>
      </c>
      <c r="AY6" s="424"/>
      <c r="AZ6" s="486">
        <f>SUM(AZ3:AZ5)</f>
        <v>6833</v>
      </c>
      <c r="BA6" s="495">
        <f>SUM(BA3:BA5)</f>
        <v>32988.994142896001</v>
      </c>
      <c r="BB6" s="485">
        <f>SUM(BB3:BB5)</f>
        <v>-965.33637559705289</v>
      </c>
      <c r="BC6" s="63"/>
      <c r="BD6" s="429" t="s">
        <v>26</v>
      </c>
      <c r="BE6" s="329">
        <f>SUM(BE3:BE5)</f>
        <v>5867.6636244029478</v>
      </c>
      <c r="BF6" s="63"/>
      <c r="BG6" s="430"/>
      <c r="BH6" s="63"/>
    </row>
    <row r="7" spans="1:60" s="3" customFormat="1" ht="13.2" customHeight="1" x14ac:dyDescent="0.3">
      <c r="A7" s="58"/>
      <c r="B7" s="58"/>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4"/>
      <c r="BA7" s="424"/>
      <c r="BB7" s="424"/>
      <c r="BC7" s="63"/>
      <c r="BD7" s="58"/>
      <c r="BE7" s="63"/>
      <c r="BF7" s="63"/>
      <c r="BG7" s="430"/>
      <c r="BH7" s="63"/>
    </row>
    <row r="8" spans="1:60" s="3" customFormat="1" ht="13.2" customHeight="1" x14ac:dyDescent="0.3">
      <c r="A8" s="58"/>
      <c r="B8" s="58"/>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c r="AW8" s="424"/>
      <c r="AX8" s="424"/>
      <c r="AY8" s="424"/>
      <c r="AZ8" s="424"/>
      <c r="BA8" s="424"/>
      <c r="BB8" s="424"/>
      <c r="BC8" s="63"/>
      <c r="BD8" s="58"/>
      <c r="BE8" s="63"/>
      <c r="BF8" s="63"/>
      <c r="BG8" s="430"/>
      <c r="BH8" s="63"/>
    </row>
    <row r="9" spans="1:60" s="778" customFormat="1" ht="24.6" customHeight="1" x14ac:dyDescent="0.3">
      <c r="A9" s="974" t="s">
        <v>208</v>
      </c>
      <c r="B9" s="974"/>
      <c r="C9" s="975" t="s">
        <v>8</v>
      </c>
      <c r="D9" s="976"/>
      <c r="E9" s="976"/>
      <c r="F9" s="977"/>
      <c r="G9" s="975" t="s">
        <v>9</v>
      </c>
      <c r="H9" s="976"/>
      <c r="I9" s="976"/>
      <c r="J9" s="977"/>
      <c r="K9" s="975" t="s">
        <v>10</v>
      </c>
      <c r="L9" s="976"/>
      <c r="M9" s="976"/>
      <c r="N9" s="977"/>
      <c r="O9" s="975" t="s">
        <v>11</v>
      </c>
      <c r="P9" s="976"/>
      <c r="Q9" s="976"/>
      <c r="R9" s="977"/>
      <c r="S9" s="975" t="s">
        <v>12</v>
      </c>
      <c r="T9" s="976"/>
      <c r="U9" s="976"/>
      <c r="V9" s="977"/>
      <c r="W9" s="975" t="s">
        <v>13</v>
      </c>
      <c r="X9" s="976"/>
      <c r="Y9" s="976"/>
      <c r="Z9" s="977"/>
      <c r="AA9" s="975" t="s">
        <v>14</v>
      </c>
      <c r="AB9" s="976"/>
      <c r="AC9" s="976"/>
      <c r="AD9" s="977"/>
      <c r="AE9" s="975" t="s">
        <v>15</v>
      </c>
      <c r="AF9" s="976"/>
      <c r="AG9" s="976"/>
      <c r="AH9" s="977"/>
      <c r="AI9" s="975" t="s">
        <v>16</v>
      </c>
      <c r="AJ9" s="976"/>
      <c r="AK9" s="976"/>
      <c r="AL9" s="977"/>
      <c r="AM9" s="975" t="s">
        <v>17</v>
      </c>
      <c r="AN9" s="976"/>
      <c r="AO9" s="976"/>
      <c r="AP9" s="977"/>
      <c r="AQ9" s="975" t="e" vm="2">
        <v>#VALUE!</v>
      </c>
      <c r="AR9" s="976"/>
      <c r="AS9" s="976"/>
      <c r="AT9" s="977"/>
      <c r="AU9" s="975" t="s">
        <v>19</v>
      </c>
      <c r="AV9" s="976"/>
      <c r="AW9" s="976"/>
      <c r="AX9" s="977"/>
      <c r="AY9" s="783"/>
      <c r="AZ9" s="989" t="s">
        <v>363</v>
      </c>
      <c r="BA9" s="989"/>
      <c r="BB9" s="783"/>
      <c r="BC9" s="851"/>
      <c r="BD9" s="776"/>
      <c r="BE9" s="851"/>
      <c r="BF9" s="851"/>
      <c r="BG9" s="868"/>
      <c r="BH9" s="851"/>
    </row>
    <row r="10" spans="1:60" s="777" customFormat="1" ht="43.8" customHeight="1" x14ac:dyDescent="0.3">
      <c r="A10" s="974"/>
      <c r="B10" s="974"/>
      <c r="D10" s="869" t="s">
        <v>359</v>
      </c>
      <c r="E10" s="856" t="s">
        <v>360</v>
      </c>
      <c r="H10" s="869" t="s">
        <v>359</v>
      </c>
      <c r="I10" s="856" t="s">
        <v>360</v>
      </c>
      <c r="K10" s="779"/>
      <c r="L10" s="869" t="s">
        <v>359</v>
      </c>
      <c r="M10" s="856" t="s">
        <v>360</v>
      </c>
      <c r="N10" s="779"/>
      <c r="O10" s="779"/>
      <c r="P10" s="869" t="s">
        <v>359</v>
      </c>
      <c r="Q10" s="856" t="s">
        <v>360</v>
      </c>
      <c r="R10" s="779"/>
      <c r="S10" s="779"/>
      <c r="T10" s="869" t="s">
        <v>359</v>
      </c>
      <c r="U10" s="856" t="s">
        <v>360</v>
      </c>
      <c r="V10" s="780"/>
      <c r="W10" s="780"/>
      <c r="X10" s="869" t="s">
        <v>359</v>
      </c>
      <c r="Y10" s="856" t="s">
        <v>360</v>
      </c>
      <c r="Z10" s="781"/>
      <c r="AA10" s="781"/>
      <c r="AB10" s="869" t="s">
        <v>359</v>
      </c>
      <c r="AC10" s="856" t="s">
        <v>360</v>
      </c>
      <c r="AD10" s="780"/>
      <c r="AE10" s="780"/>
      <c r="AF10" s="869" t="s">
        <v>359</v>
      </c>
      <c r="AG10" s="856" t="s">
        <v>360</v>
      </c>
      <c r="AH10" s="780"/>
      <c r="AI10" s="780"/>
      <c r="AJ10" s="869" t="s">
        <v>359</v>
      </c>
      <c r="AK10" s="856" t="s">
        <v>360</v>
      </c>
      <c r="AL10" s="780"/>
      <c r="AM10" s="780"/>
      <c r="AN10" s="869" t="s">
        <v>359</v>
      </c>
      <c r="AO10" s="856" t="s">
        <v>360</v>
      </c>
      <c r="AP10" s="780"/>
      <c r="AQ10" s="780"/>
      <c r="AR10" s="869" t="s">
        <v>359</v>
      </c>
      <c r="AS10" s="856" t="s">
        <v>360</v>
      </c>
      <c r="AT10" s="782"/>
      <c r="AU10" s="782"/>
      <c r="AV10" s="869" t="s">
        <v>359</v>
      </c>
      <c r="AW10" s="856" t="s">
        <v>360</v>
      </c>
      <c r="AX10" s="782"/>
      <c r="AY10" s="782"/>
      <c r="AZ10" s="869" t="s">
        <v>359</v>
      </c>
      <c r="BA10" s="856" t="s">
        <v>360</v>
      </c>
    </row>
    <row r="11" spans="1:60" s="777" customFormat="1" ht="21.6" customHeight="1" x14ac:dyDescent="0.3">
      <c r="A11" s="870" t="s">
        <v>338</v>
      </c>
      <c r="D11" s="777">
        <f>INT('Computs fore costs'!D27/'Computs fore costs'!$E38)</f>
        <v>34</v>
      </c>
      <c r="E11" s="853">
        <f>D11/D$18</f>
        <v>1</v>
      </c>
      <c r="H11" s="777">
        <f>INT('Computs fore costs'!H27/'Computs fore costs'!$E38)</f>
        <v>34</v>
      </c>
      <c r="I11" s="853">
        <f>H11/H$18</f>
        <v>1</v>
      </c>
      <c r="K11" s="779"/>
      <c r="L11" s="777">
        <f>INT('Computs fore costs'!M27/'Computs fore costs'!$E38)</f>
        <v>34</v>
      </c>
      <c r="M11" s="853">
        <f>L11/L$18</f>
        <v>6.0606060606060608E-2</v>
      </c>
      <c r="N11" s="779"/>
      <c r="O11" s="779"/>
      <c r="P11" s="777">
        <f>INT('Computs fore costs'!S27/'Computs fore costs'!$E38)</f>
        <v>27</v>
      </c>
      <c r="Q11" s="853">
        <f>P11/P$18</f>
        <v>4.8736462093862815E-2</v>
      </c>
      <c r="R11" s="779"/>
      <c r="S11" s="779"/>
      <c r="T11" s="777">
        <f>INT('Computs fore costs'!W27/'Computs fore costs'!$E38)</f>
        <v>20</v>
      </c>
      <c r="U11" s="853">
        <f>T11/T$18</f>
        <v>3.2206119162640899E-2</v>
      </c>
      <c r="V11" s="780"/>
      <c r="W11" s="780"/>
      <c r="X11" s="777">
        <f>INT('Computs fore costs'!AA27/'Computs fore costs'!$E38)</f>
        <v>20</v>
      </c>
      <c r="Y11" s="853">
        <f>X11/X$18</f>
        <v>4.0733197556008148E-2</v>
      </c>
      <c r="AB11" s="777">
        <f>INT('Computs fore costs'!AE27/'Computs fore costs'!$E38)</f>
        <v>20</v>
      </c>
      <c r="AC11" s="853">
        <f>AB11/AB$18</f>
        <v>0.04</v>
      </c>
      <c r="AD11" s="780"/>
      <c r="AE11" s="780"/>
      <c r="AF11" s="777">
        <f>INT('Computs fore costs'!AI27/'Computs fore costs'!$E38)</f>
        <v>20</v>
      </c>
      <c r="AG11" s="853">
        <f>AF11/AF$18</f>
        <v>3.2467532467532464E-2</v>
      </c>
      <c r="AH11" s="780"/>
      <c r="AI11" s="780"/>
      <c r="AJ11" s="777">
        <f>INT('Computs fore costs'!AM27/'Computs fore costs'!$E38)</f>
        <v>17</v>
      </c>
      <c r="AK11" s="853">
        <f>AJ11/AJ$18</f>
        <v>2.6984126984126985E-2</v>
      </c>
      <c r="AL11" s="780"/>
      <c r="AM11" s="780"/>
      <c r="AN11" s="777">
        <f>INT('Computs fore costs'!AQ27/'Computs fore costs'!$E38)</f>
        <v>17</v>
      </c>
      <c r="AO11" s="853">
        <f>AN11/AN$18</f>
        <v>2.7331189710610933E-2</v>
      </c>
      <c r="AP11" s="780"/>
      <c r="AQ11" s="780"/>
      <c r="AR11" s="777">
        <f>INT('Computs fore costs'!AU27/'Computs fore costs'!$E38)</f>
        <v>17</v>
      </c>
      <c r="AS11" s="853">
        <f>AR11/AR$18</f>
        <v>2.7331189710610933E-2</v>
      </c>
      <c r="AT11" s="782"/>
      <c r="AU11" s="782"/>
      <c r="AV11" s="777">
        <f>INT('Computs fore costs'!AY27/'Computs fore costs'!$E38)</f>
        <v>17</v>
      </c>
      <c r="AW11" s="853">
        <f>AV11/AV$18</f>
        <v>2.7868852459016394E-2</v>
      </c>
      <c r="AX11" s="782"/>
      <c r="AY11" s="782"/>
      <c r="AZ11" s="780">
        <f t="shared" ref="AZ11:AZ17" si="2">D11+H11+L11+P11+T11+X11+AB11+AF11+AJ11+AN11+AR11+AV11</f>
        <v>277</v>
      </c>
      <c r="BA11" s="853">
        <f>AZ11/AZ$18</f>
        <v>4.6988973706530955E-2</v>
      </c>
      <c r="BB11" s="782"/>
    </row>
    <row r="12" spans="1:60" s="777" customFormat="1" ht="21.6" customHeight="1" x14ac:dyDescent="0.3">
      <c r="A12" s="870" t="s">
        <v>339</v>
      </c>
      <c r="D12" s="777">
        <f>INT('Computs fore costs'!D28/'Computs fore costs'!$E39)</f>
        <v>0</v>
      </c>
      <c r="E12" s="853">
        <f t="shared" ref="E12:E17" si="3">D12/D$18</f>
        <v>0</v>
      </c>
      <c r="H12" s="777">
        <f>INT('Computs fore costs'!H28/'Computs fore costs'!$E39)</f>
        <v>0</v>
      </c>
      <c r="I12" s="853">
        <f t="shared" ref="I12:I17" si="4">H12/H$18</f>
        <v>0</v>
      </c>
      <c r="K12" s="779"/>
      <c r="L12" s="777">
        <f>INT('Computs fore costs'!M28/'Computs fore costs'!$E39)</f>
        <v>181</v>
      </c>
      <c r="M12" s="853">
        <f t="shared" ref="M12:M17" si="5">L12/L$18</f>
        <v>0.32263814616755793</v>
      </c>
      <c r="N12" s="779"/>
      <c r="O12" s="779"/>
      <c r="P12" s="777">
        <f>INT('Computs fore costs'!S28/'Computs fore costs'!$E39)</f>
        <v>181</v>
      </c>
      <c r="Q12" s="853">
        <f t="shared" ref="Q12:Q17" si="6">P12/P$18</f>
        <v>0.3267148014440433</v>
      </c>
      <c r="R12" s="779"/>
      <c r="S12" s="779"/>
      <c r="T12" s="777">
        <f>INT('Computs fore costs'!W28/'Computs fore costs'!$E39)</f>
        <v>145</v>
      </c>
      <c r="U12" s="853">
        <f t="shared" ref="U12:U17" si="7">T12/T$18</f>
        <v>0.23349436392914655</v>
      </c>
      <c r="V12" s="780"/>
      <c r="W12" s="780"/>
      <c r="X12" s="777">
        <f>INT('Computs fore costs'!AA28/'Computs fore costs'!$E39)</f>
        <v>121</v>
      </c>
      <c r="Y12" s="853">
        <f t="shared" ref="Y12:Y17" si="8">X12/X$18</f>
        <v>0.24643584521384929</v>
      </c>
      <c r="AB12" s="777">
        <f>INT('Computs fore costs'!AE28/'Computs fore costs'!$E39)</f>
        <v>96</v>
      </c>
      <c r="AC12" s="853">
        <f t="shared" ref="AC12:AC17" si="9">AB12/AB$18</f>
        <v>0.192</v>
      </c>
      <c r="AD12" s="780"/>
      <c r="AE12" s="780"/>
      <c r="AF12" s="777">
        <f>INT('Computs fore costs'!AI28/'Computs fore costs'!$E39)</f>
        <v>96</v>
      </c>
      <c r="AG12" s="853">
        <f t="shared" ref="AG12:AG17" si="10">AF12/AF$18</f>
        <v>0.15584415584415584</v>
      </c>
      <c r="AH12" s="780"/>
      <c r="AI12" s="780"/>
      <c r="AJ12" s="777">
        <f>INT('Computs fore costs'!AM28/'Computs fore costs'!$E39)</f>
        <v>121</v>
      </c>
      <c r="AK12" s="853">
        <f t="shared" ref="AK12:AK17" si="11">AJ12/AJ$18</f>
        <v>0.19206349206349208</v>
      </c>
      <c r="AL12" s="780"/>
      <c r="AM12" s="780"/>
      <c r="AN12" s="777">
        <f>INT('Computs fore costs'!AQ28/'Computs fore costs'!$E39)</f>
        <v>181</v>
      </c>
      <c r="AO12" s="853">
        <f t="shared" ref="AO12:AO17" si="12">AN12/AN$18</f>
        <v>0.29099678456591638</v>
      </c>
      <c r="AP12" s="780"/>
      <c r="AQ12" s="780"/>
      <c r="AR12" s="777">
        <f>INT('Computs fore costs'!AU28/'Computs fore costs'!$E39)</f>
        <v>181</v>
      </c>
      <c r="AS12" s="853">
        <f t="shared" ref="AS12:AS17" si="13">AR12/AR$18</f>
        <v>0.29099678456591638</v>
      </c>
      <c r="AT12" s="782"/>
      <c r="AU12" s="782"/>
      <c r="AV12" s="777">
        <f>INT('Computs fore costs'!AY28/'Computs fore costs'!$E39)</f>
        <v>181</v>
      </c>
      <c r="AW12" s="853">
        <f t="shared" ref="AW12:AW17" si="14">AV12/AV$18</f>
        <v>0.29672131147540981</v>
      </c>
      <c r="AX12" s="782"/>
      <c r="AY12" s="782"/>
      <c r="AZ12" s="780">
        <f t="shared" si="2"/>
        <v>1484</v>
      </c>
      <c r="BA12" s="853">
        <f t="shared" ref="BA12:BA17" si="15">AZ12/AZ$18</f>
        <v>0.25173876166242576</v>
      </c>
      <c r="BB12" s="782"/>
    </row>
    <row r="13" spans="1:60" s="777" customFormat="1" ht="21.6" customHeight="1" x14ac:dyDescent="0.3">
      <c r="A13" s="870" t="s">
        <v>340</v>
      </c>
      <c r="D13" s="777">
        <f>INT('Computs fore costs'!D29/'Computs fore costs'!$E40)</f>
        <v>0</v>
      </c>
      <c r="E13" s="853">
        <f t="shared" si="3"/>
        <v>0</v>
      </c>
      <c r="H13" s="777">
        <f>INT('Computs fore costs'!H29/'Computs fore costs'!$E40)</f>
        <v>0</v>
      </c>
      <c r="I13" s="853">
        <f t="shared" si="4"/>
        <v>0</v>
      </c>
      <c r="K13" s="779"/>
      <c r="L13" s="777">
        <f>INT('Computs fore costs'!M29/'Computs fore costs'!$E40)</f>
        <v>0</v>
      </c>
      <c r="M13" s="853">
        <f t="shared" si="5"/>
        <v>0</v>
      </c>
      <c r="N13" s="779"/>
      <c r="O13" s="779"/>
      <c r="P13" s="777">
        <f>INT('Computs fore costs'!S29/'Computs fore costs'!$E40)</f>
        <v>0</v>
      </c>
      <c r="Q13" s="853">
        <f t="shared" si="6"/>
        <v>0</v>
      </c>
      <c r="R13" s="779"/>
      <c r="S13" s="779"/>
      <c r="T13" s="777">
        <f>INT('Computs fore costs'!W29/'Computs fore costs'!$E40)</f>
        <v>0</v>
      </c>
      <c r="U13" s="853">
        <f t="shared" si="7"/>
        <v>0</v>
      </c>
      <c r="V13" s="780"/>
      <c r="W13" s="780"/>
      <c r="X13" s="777">
        <f>INT('Computs fore costs'!AA29/'Computs fore costs'!$E40)</f>
        <v>0</v>
      </c>
      <c r="Y13" s="853">
        <f t="shared" si="8"/>
        <v>0</v>
      </c>
      <c r="AB13" s="777">
        <f>INT('Computs fore costs'!AE29/'Computs fore costs'!$E40)</f>
        <v>17</v>
      </c>
      <c r="AC13" s="853">
        <f t="shared" si="9"/>
        <v>3.4000000000000002E-2</v>
      </c>
      <c r="AD13" s="780"/>
      <c r="AE13" s="780"/>
      <c r="AF13" s="777">
        <f>INT('Computs fore costs'!AI29/'Computs fore costs'!$E40)</f>
        <v>17</v>
      </c>
      <c r="AG13" s="853">
        <f t="shared" si="10"/>
        <v>2.7597402597402596E-2</v>
      </c>
      <c r="AH13" s="780"/>
      <c r="AI13" s="780"/>
      <c r="AJ13" s="777">
        <f>INT('Computs fore costs'!AM29/'Computs fore costs'!$E40)</f>
        <v>13</v>
      </c>
      <c r="AK13" s="853">
        <f t="shared" si="11"/>
        <v>2.0634920634920634E-2</v>
      </c>
      <c r="AL13" s="780"/>
      <c r="AM13" s="780"/>
      <c r="AN13" s="777">
        <f>INT('Computs fore costs'!AQ29/'Computs fore costs'!$E40)</f>
        <v>3</v>
      </c>
      <c r="AO13" s="853">
        <f t="shared" si="12"/>
        <v>4.8231511254019296E-3</v>
      </c>
      <c r="AP13" s="780"/>
      <c r="AQ13" s="780"/>
      <c r="AR13" s="777">
        <f>INT('Computs fore costs'!AU29/'Computs fore costs'!$E40)</f>
        <v>3</v>
      </c>
      <c r="AS13" s="853">
        <f t="shared" si="13"/>
        <v>4.8231511254019296E-3</v>
      </c>
      <c r="AT13" s="782"/>
      <c r="AU13" s="782"/>
      <c r="AV13" s="777">
        <f>INT('Computs fore costs'!AY29/'Computs fore costs'!$E40)</f>
        <v>3</v>
      </c>
      <c r="AW13" s="853">
        <f t="shared" si="14"/>
        <v>4.9180327868852463E-3</v>
      </c>
      <c r="AX13" s="782"/>
      <c r="AY13" s="782"/>
      <c r="AZ13" s="780">
        <f t="shared" si="2"/>
        <v>56</v>
      </c>
      <c r="BA13" s="853">
        <f t="shared" si="15"/>
        <v>9.4995759117896521E-3</v>
      </c>
      <c r="BB13" s="782"/>
    </row>
    <row r="14" spans="1:60" s="777" customFormat="1" ht="21.6" customHeight="1" x14ac:dyDescent="0.3">
      <c r="A14" s="870" t="s">
        <v>341</v>
      </c>
      <c r="D14" s="777">
        <f>INT('Computs fore costs'!D30/'Computs fore costs'!$E41)</f>
        <v>0</v>
      </c>
      <c r="E14" s="853">
        <f t="shared" si="3"/>
        <v>0</v>
      </c>
      <c r="H14" s="777">
        <f>INT('Computs fore costs'!H30/'Computs fore costs'!$E41)</f>
        <v>0</v>
      </c>
      <c r="I14" s="853">
        <f t="shared" si="4"/>
        <v>0</v>
      </c>
      <c r="K14" s="779"/>
      <c r="L14" s="777">
        <f>INT('Computs fore costs'!M30/'Computs fore costs'!$E41)</f>
        <v>0</v>
      </c>
      <c r="M14" s="853">
        <f t="shared" si="5"/>
        <v>0</v>
      </c>
      <c r="N14" s="779"/>
      <c r="O14" s="779"/>
      <c r="P14" s="777">
        <f>INT('Computs fore costs'!S30/'Computs fore costs'!$E41)</f>
        <v>0</v>
      </c>
      <c r="Q14" s="853">
        <f t="shared" si="6"/>
        <v>0</v>
      </c>
      <c r="R14" s="779"/>
      <c r="S14" s="779"/>
      <c r="T14" s="777">
        <f>INT('Computs fore costs'!W30/'Computs fore costs'!$E41)</f>
        <v>0</v>
      </c>
      <c r="U14" s="853">
        <f t="shared" si="7"/>
        <v>0</v>
      </c>
      <c r="V14" s="780"/>
      <c r="W14" s="780"/>
      <c r="X14" s="777">
        <f>INT('Computs fore costs'!AA30/'Computs fore costs'!$E41)</f>
        <v>0</v>
      </c>
      <c r="Y14" s="853">
        <f t="shared" si="8"/>
        <v>0</v>
      </c>
      <c r="AB14" s="777">
        <f>INT('Computs fore costs'!AE30/'Computs fore costs'!$E41)</f>
        <v>17</v>
      </c>
      <c r="AC14" s="853">
        <f t="shared" si="9"/>
        <v>3.4000000000000002E-2</v>
      </c>
      <c r="AD14" s="780"/>
      <c r="AE14" s="780"/>
      <c r="AF14" s="777">
        <f>INT('Computs fore costs'!AI30/'Computs fore costs'!$E41)</f>
        <v>17</v>
      </c>
      <c r="AG14" s="853">
        <f t="shared" si="10"/>
        <v>2.7597402597402596E-2</v>
      </c>
      <c r="AH14" s="780"/>
      <c r="AI14" s="780"/>
      <c r="AJ14" s="777">
        <f>INT('Computs fore costs'!AM30/'Computs fore costs'!$E41)</f>
        <v>13</v>
      </c>
      <c r="AK14" s="853">
        <f t="shared" si="11"/>
        <v>2.0634920634920634E-2</v>
      </c>
      <c r="AL14" s="780"/>
      <c r="AM14" s="780"/>
      <c r="AN14" s="777">
        <f>INT('Computs fore costs'!AQ30/'Computs fore costs'!$E41)</f>
        <v>3</v>
      </c>
      <c r="AO14" s="853">
        <f t="shared" si="12"/>
        <v>4.8231511254019296E-3</v>
      </c>
      <c r="AP14" s="780"/>
      <c r="AQ14" s="780"/>
      <c r="AR14" s="777">
        <f>INT('Computs fore costs'!AU30/'Computs fore costs'!$E41)</f>
        <v>3</v>
      </c>
      <c r="AS14" s="853">
        <f t="shared" si="13"/>
        <v>4.8231511254019296E-3</v>
      </c>
      <c r="AT14" s="782"/>
      <c r="AU14" s="782"/>
      <c r="AV14" s="777">
        <f>INT('Computs fore costs'!AY30/'Computs fore costs'!$E41)</f>
        <v>3</v>
      </c>
      <c r="AW14" s="853">
        <f t="shared" si="14"/>
        <v>4.9180327868852463E-3</v>
      </c>
      <c r="AX14" s="782"/>
      <c r="AY14" s="782"/>
      <c r="AZ14" s="780">
        <f t="shared" si="2"/>
        <v>56</v>
      </c>
      <c r="BA14" s="853">
        <f t="shared" si="15"/>
        <v>9.4995759117896521E-3</v>
      </c>
      <c r="BB14" s="782"/>
    </row>
    <row r="15" spans="1:60" s="777" customFormat="1" ht="21.6" customHeight="1" x14ac:dyDescent="0.3">
      <c r="A15" s="870" t="s">
        <v>329</v>
      </c>
      <c r="D15" s="777">
        <f>INT('Computs fore costs'!D31/'Computs fore costs'!$E42)</f>
        <v>0</v>
      </c>
      <c r="E15" s="853">
        <f t="shared" si="3"/>
        <v>0</v>
      </c>
      <c r="H15" s="777">
        <f>INT('Computs fore costs'!H31/'Computs fore costs'!$E42)</f>
        <v>0</v>
      </c>
      <c r="I15" s="853">
        <f t="shared" si="4"/>
        <v>0</v>
      </c>
      <c r="K15" s="779"/>
      <c r="L15" s="777">
        <f>INT('Computs fore costs'!M31/'Computs fore costs'!$E42)</f>
        <v>346</v>
      </c>
      <c r="M15" s="853">
        <f t="shared" si="5"/>
        <v>0.61675579322638141</v>
      </c>
      <c r="N15" s="779"/>
      <c r="O15" s="779"/>
      <c r="P15" s="777">
        <f>INT('Computs fore costs'!S31/'Computs fore costs'!$E42)</f>
        <v>346</v>
      </c>
      <c r="Q15" s="853">
        <f t="shared" si="6"/>
        <v>0.62454873646209386</v>
      </c>
      <c r="R15" s="779"/>
      <c r="S15" s="779"/>
      <c r="T15" s="777">
        <f>INT('Computs fore costs'!W31/'Computs fore costs'!$E42)</f>
        <v>276</v>
      </c>
      <c r="U15" s="853">
        <f t="shared" si="7"/>
        <v>0.44444444444444442</v>
      </c>
      <c r="V15" s="780"/>
      <c r="W15" s="780"/>
      <c r="X15" s="777">
        <f>INT('Computs fore costs'!AA31/'Computs fore costs'!$E42)</f>
        <v>230</v>
      </c>
      <c r="Y15" s="853">
        <f t="shared" si="8"/>
        <v>0.46843177189409368</v>
      </c>
      <c r="AB15" s="777">
        <f>INT('Computs fore costs'!AE31/'Computs fore costs'!$E42)</f>
        <v>230</v>
      </c>
      <c r="AC15" s="853">
        <f t="shared" si="9"/>
        <v>0.46</v>
      </c>
      <c r="AD15" s="780"/>
      <c r="AE15" s="780"/>
      <c r="AF15" s="777">
        <f>INT('Computs fore costs'!AI31/'Computs fore costs'!$E42)</f>
        <v>346</v>
      </c>
      <c r="AG15" s="853">
        <f t="shared" si="10"/>
        <v>0.56168831168831168</v>
      </c>
      <c r="AH15" s="780"/>
      <c r="AI15" s="780"/>
      <c r="AJ15" s="777">
        <f>INT('Computs fore costs'!AM31/'Computs fore costs'!$E42)</f>
        <v>346</v>
      </c>
      <c r="AK15" s="853">
        <f t="shared" si="11"/>
        <v>0.54920634920634925</v>
      </c>
      <c r="AL15" s="780"/>
      <c r="AM15" s="780"/>
      <c r="AN15" s="777">
        <f>INT('Computs fore costs'!AQ31/'Computs fore costs'!$E42)</f>
        <v>346</v>
      </c>
      <c r="AO15" s="853">
        <f t="shared" si="12"/>
        <v>0.5562700964630225</v>
      </c>
      <c r="AP15" s="780"/>
      <c r="AQ15" s="780"/>
      <c r="AR15" s="777">
        <f>INT('Computs fore costs'!AU31/'Computs fore costs'!$E42)</f>
        <v>346</v>
      </c>
      <c r="AS15" s="853">
        <f t="shared" si="13"/>
        <v>0.5562700964630225</v>
      </c>
      <c r="AT15" s="782"/>
      <c r="AU15" s="782"/>
      <c r="AV15" s="777">
        <f>INT('Computs fore costs'!AY31/'Computs fore costs'!$E42)</f>
        <v>346</v>
      </c>
      <c r="AW15" s="853">
        <f t="shared" si="14"/>
        <v>0.56721311475409841</v>
      </c>
      <c r="AX15" s="782"/>
      <c r="AY15" s="782"/>
      <c r="AZ15" s="780">
        <f t="shared" si="2"/>
        <v>3158</v>
      </c>
      <c r="BA15" s="853">
        <f t="shared" si="15"/>
        <v>0.53570822731128076</v>
      </c>
      <c r="BB15" s="782"/>
    </row>
    <row r="16" spans="1:60" s="777" customFormat="1" ht="21.6" customHeight="1" x14ac:dyDescent="0.3">
      <c r="A16" s="870" t="s">
        <v>342</v>
      </c>
      <c r="D16" s="777">
        <f>INT('Computs fore costs'!D32/'Computs fore costs'!$E43)</f>
        <v>0</v>
      </c>
      <c r="E16" s="853">
        <f t="shared" si="3"/>
        <v>0</v>
      </c>
      <c r="H16" s="777">
        <f>INT('Computs fore costs'!H32/'Computs fore costs'!$E43)</f>
        <v>0</v>
      </c>
      <c r="I16" s="853">
        <f t="shared" si="4"/>
        <v>0</v>
      </c>
      <c r="K16" s="779"/>
      <c r="L16" s="777">
        <f>INT('Computs fore costs'!M32/'Computs fore costs'!$E43)</f>
        <v>0</v>
      </c>
      <c r="M16" s="853">
        <f t="shared" si="5"/>
        <v>0</v>
      </c>
      <c r="N16" s="779"/>
      <c r="O16" s="779"/>
      <c r="P16" s="777">
        <f>INT('Computs fore costs'!S32/'Computs fore costs'!$E43)</f>
        <v>0</v>
      </c>
      <c r="Q16" s="853">
        <f t="shared" si="6"/>
        <v>0</v>
      </c>
      <c r="R16" s="779"/>
      <c r="S16" s="779"/>
      <c r="T16" s="777">
        <f>INT('Computs fore costs'!W32/'Computs fore costs'!$E43)</f>
        <v>90</v>
      </c>
      <c r="U16" s="853">
        <f t="shared" si="7"/>
        <v>0.14492753623188406</v>
      </c>
      <c r="V16" s="780"/>
      <c r="W16" s="780"/>
      <c r="X16" s="777">
        <f>INT('Computs fore costs'!AA32/'Computs fore costs'!$E43)</f>
        <v>60</v>
      </c>
      <c r="Y16" s="853">
        <f t="shared" si="8"/>
        <v>0.12219959266802444</v>
      </c>
      <c r="AB16" s="777">
        <f>INT('Computs fore costs'!AE32/'Computs fore costs'!$E43)</f>
        <v>60</v>
      </c>
      <c r="AC16" s="853">
        <f t="shared" si="9"/>
        <v>0.12</v>
      </c>
      <c r="AD16" s="780"/>
      <c r="AE16" s="780"/>
      <c r="AF16" s="777">
        <f>INT('Computs fore costs'!AI32/'Computs fore costs'!$E43)</f>
        <v>60</v>
      </c>
      <c r="AG16" s="853">
        <f t="shared" si="10"/>
        <v>9.7402597402597407E-2</v>
      </c>
      <c r="AH16" s="780"/>
      <c r="AI16" s="780"/>
      <c r="AJ16" s="777">
        <f>INT('Computs fore costs'!AM32/'Computs fore costs'!$E43)</f>
        <v>60</v>
      </c>
      <c r="AK16" s="853">
        <f t="shared" si="11"/>
        <v>9.5238095238095233E-2</v>
      </c>
      <c r="AL16" s="780"/>
      <c r="AM16" s="780"/>
      <c r="AN16" s="777">
        <f>INT('Computs fore costs'!AQ32/'Computs fore costs'!$E43)</f>
        <v>36</v>
      </c>
      <c r="AO16" s="853">
        <f t="shared" si="12"/>
        <v>5.7877813504823149E-2</v>
      </c>
      <c r="AP16" s="780"/>
      <c r="AQ16" s="780"/>
      <c r="AR16" s="777">
        <f>INT('Computs fore costs'!AU32/'Computs fore costs'!$E43)</f>
        <v>36</v>
      </c>
      <c r="AS16" s="853">
        <f t="shared" si="13"/>
        <v>5.7877813504823149E-2</v>
      </c>
      <c r="AT16" s="782"/>
      <c r="AU16" s="782"/>
      <c r="AV16" s="777">
        <f>INT('Computs fore costs'!AY32/'Computs fore costs'!$E43)</f>
        <v>30</v>
      </c>
      <c r="AW16" s="853">
        <f t="shared" si="14"/>
        <v>4.9180327868852458E-2</v>
      </c>
      <c r="AX16" s="782"/>
      <c r="AY16" s="782"/>
      <c r="AZ16" s="780">
        <f t="shared" si="2"/>
        <v>432</v>
      </c>
      <c r="BA16" s="853">
        <f t="shared" si="15"/>
        <v>7.3282442748091606E-2</v>
      </c>
      <c r="BB16" s="782"/>
    </row>
    <row r="17" spans="1:60" s="777" customFormat="1" ht="21.6" customHeight="1" x14ac:dyDescent="0.3">
      <c r="A17" s="871" t="s">
        <v>343</v>
      </c>
      <c r="D17" s="884">
        <f>INT('Computs fore costs'!D33/'Computs fore costs'!$E44)</f>
        <v>0</v>
      </c>
      <c r="E17" s="855">
        <f t="shared" si="3"/>
        <v>0</v>
      </c>
      <c r="H17" s="884">
        <f>INT('Computs fore costs'!H33/'Computs fore costs'!$E44)</f>
        <v>0</v>
      </c>
      <c r="I17" s="855">
        <f t="shared" si="4"/>
        <v>0</v>
      </c>
      <c r="K17" s="779"/>
      <c r="L17" s="884">
        <f>INT('Computs fore costs'!M33/'Computs fore costs'!$E44)</f>
        <v>0</v>
      </c>
      <c r="M17" s="855">
        <f t="shared" si="5"/>
        <v>0</v>
      </c>
      <c r="N17" s="779"/>
      <c r="O17" s="779"/>
      <c r="P17" s="884">
        <f>INT('Computs fore costs'!S33/'Computs fore costs'!$E44)</f>
        <v>0</v>
      </c>
      <c r="Q17" s="855">
        <f t="shared" si="6"/>
        <v>0</v>
      </c>
      <c r="R17" s="779"/>
      <c r="S17" s="779"/>
      <c r="T17" s="884">
        <f>INT('Computs fore costs'!W33/'Computs fore costs'!$E44)</f>
        <v>90</v>
      </c>
      <c r="U17" s="855">
        <f t="shared" si="7"/>
        <v>0.14492753623188406</v>
      </c>
      <c r="V17" s="780"/>
      <c r="W17" s="780"/>
      <c r="X17" s="884">
        <f>INT('Computs fore costs'!AA33/'Computs fore costs'!$E44)</f>
        <v>60</v>
      </c>
      <c r="Y17" s="855">
        <f t="shared" si="8"/>
        <v>0.12219959266802444</v>
      </c>
      <c r="AB17" s="884">
        <f>INT('Computs fore costs'!AE33/'Computs fore costs'!$E44)</f>
        <v>60</v>
      </c>
      <c r="AC17" s="855">
        <f t="shared" si="9"/>
        <v>0.12</v>
      </c>
      <c r="AD17" s="780"/>
      <c r="AE17" s="780"/>
      <c r="AF17" s="884">
        <f>INT('Computs fore costs'!AI33/'Computs fore costs'!$E44)</f>
        <v>60</v>
      </c>
      <c r="AG17" s="855">
        <f t="shared" si="10"/>
        <v>9.7402597402597407E-2</v>
      </c>
      <c r="AH17" s="780"/>
      <c r="AI17" s="780"/>
      <c r="AJ17" s="884">
        <f>INT('Computs fore costs'!AM33/'Computs fore costs'!$E44)</f>
        <v>60</v>
      </c>
      <c r="AK17" s="855">
        <f t="shared" si="11"/>
        <v>9.5238095238095233E-2</v>
      </c>
      <c r="AL17" s="780"/>
      <c r="AM17" s="780"/>
      <c r="AN17" s="884">
        <f>INT('Computs fore costs'!AQ33/'Computs fore costs'!$E44)</f>
        <v>36</v>
      </c>
      <c r="AO17" s="855">
        <f t="shared" si="12"/>
        <v>5.7877813504823149E-2</v>
      </c>
      <c r="AP17" s="780"/>
      <c r="AQ17" s="780"/>
      <c r="AR17" s="884">
        <f>INT('Computs fore costs'!AU33/'Computs fore costs'!$E44)</f>
        <v>36</v>
      </c>
      <c r="AS17" s="855">
        <f t="shared" si="13"/>
        <v>5.7877813504823149E-2</v>
      </c>
      <c r="AT17" s="782"/>
      <c r="AU17" s="782"/>
      <c r="AV17" s="884">
        <f>INT('Computs fore costs'!AY33/'Computs fore costs'!$E44)</f>
        <v>30</v>
      </c>
      <c r="AW17" s="855">
        <f t="shared" si="14"/>
        <v>4.9180327868852458E-2</v>
      </c>
      <c r="AX17" s="782"/>
      <c r="AY17" s="782"/>
      <c r="AZ17" s="885">
        <f t="shared" si="2"/>
        <v>432</v>
      </c>
      <c r="BA17" s="855">
        <f t="shared" si="15"/>
        <v>7.3282442748091606E-2</v>
      </c>
      <c r="BB17" s="782"/>
    </row>
    <row r="18" spans="1:60" s="778" customFormat="1" ht="24.6" customHeight="1" x14ac:dyDescent="0.3">
      <c r="A18" s="867" t="s">
        <v>330</v>
      </c>
      <c r="D18" s="778">
        <f>SUM(D11:D17)</f>
        <v>34</v>
      </c>
      <c r="E18" s="854">
        <f>SUM(E11:E17)</f>
        <v>1</v>
      </c>
      <c r="H18" s="778">
        <f>SUM(H11:H17)</f>
        <v>34</v>
      </c>
      <c r="I18" s="854">
        <f>SUM(I11:I17)</f>
        <v>1</v>
      </c>
      <c r="K18" s="850"/>
      <c r="L18" s="778">
        <f>SUM(L11:L17)</f>
        <v>561</v>
      </c>
      <c r="M18" s="854">
        <f>SUM(M11:M17)</f>
        <v>1</v>
      </c>
      <c r="N18" s="850"/>
      <c r="O18" s="850"/>
      <c r="P18" s="778">
        <f>SUM(P11:P17)</f>
        <v>554</v>
      </c>
      <c r="Q18" s="854">
        <f>SUM(Q11:Q17)</f>
        <v>1</v>
      </c>
      <c r="R18" s="850"/>
      <c r="S18" s="850"/>
      <c r="T18" s="778">
        <f>SUM(T11:T17)</f>
        <v>621</v>
      </c>
      <c r="U18" s="854">
        <f>SUM(U11:U17)</f>
        <v>1</v>
      </c>
      <c r="V18" s="783"/>
      <c r="W18" s="783"/>
      <c r="X18" s="778">
        <f>SUM(X11:X17)</f>
        <v>491</v>
      </c>
      <c r="Y18" s="854">
        <f>SUM(Y11:Y17)</f>
        <v>1</v>
      </c>
      <c r="AB18" s="778">
        <f>SUM(AB11:AB17)</f>
        <v>500</v>
      </c>
      <c r="AC18" s="854">
        <f>SUM(AC11:AC17)</f>
        <v>1</v>
      </c>
      <c r="AD18" s="850"/>
      <c r="AE18" s="850"/>
      <c r="AF18" s="778">
        <f>SUM(AF11:AF17)</f>
        <v>616</v>
      </c>
      <c r="AG18" s="854">
        <f>SUM(AG11:AG17)</f>
        <v>1</v>
      </c>
      <c r="AH18" s="783"/>
      <c r="AI18" s="783"/>
      <c r="AJ18" s="778">
        <f>SUM(AJ11:AJ17)</f>
        <v>630</v>
      </c>
      <c r="AK18" s="854">
        <f>SUM(AK11:AK17)</f>
        <v>1</v>
      </c>
      <c r="AL18" s="783"/>
      <c r="AM18" s="783"/>
      <c r="AN18" s="778">
        <f>SUM(AN11:AN17)</f>
        <v>622</v>
      </c>
      <c r="AO18" s="854">
        <f>SUM(AO11:AO17)</f>
        <v>1</v>
      </c>
      <c r="AP18" s="783"/>
      <c r="AQ18" s="783"/>
      <c r="AR18" s="778">
        <f>SUM(AR11:AR17)</f>
        <v>622</v>
      </c>
      <c r="AS18" s="854">
        <f>SUM(AS11:AS17)</f>
        <v>1</v>
      </c>
      <c r="AT18" s="851"/>
      <c r="AU18" s="851"/>
      <c r="AV18" s="778">
        <f>SUM(AV11:AV17)</f>
        <v>610</v>
      </c>
      <c r="AW18" s="854">
        <f>SUM(AW11:AW17)</f>
        <v>1</v>
      </c>
      <c r="AX18" s="851"/>
      <c r="AY18" s="851"/>
      <c r="AZ18" s="851">
        <f>SUM(AZ11:AZ17)</f>
        <v>5895</v>
      </c>
      <c r="BA18" s="854">
        <f>SUM(BA11:BA17)</f>
        <v>0.99999999999999989</v>
      </c>
      <c r="BB18" s="851"/>
    </row>
    <row r="19" spans="1:60" ht="24.6" customHeight="1" x14ac:dyDescent="0.3">
      <c r="E19" s="230"/>
      <c r="F19" s="230"/>
      <c r="H19" s="232"/>
      <c r="I19" s="232"/>
      <c r="J19" s="232"/>
      <c r="T19" s="445"/>
      <c r="U19" s="232"/>
      <c r="V19" s="232"/>
      <c r="W19" s="232"/>
      <c r="X19" s="447"/>
      <c r="Y19" s="2"/>
      <c r="Z19" s="2"/>
      <c r="AA19" s="2"/>
      <c r="AF19" s="232"/>
      <c r="AG19" s="232"/>
      <c r="AH19" s="232"/>
      <c r="AI19" s="232"/>
      <c r="AJ19" s="232"/>
      <c r="AK19" s="232"/>
      <c r="AL19" s="232"/>
      <c r="AM19" s="232"/>
      <c r="AN19" s="232"/>
      <c r="AO19" s="232"/>
      <c r="AP19" s="232"/>
      <c r="AQ19" s="232"/>
      <c r="AR19" s="232"/>
      <c r="AS19" s="232"/>
      <c r="AT19" s="55"/>
      <c r="AU19" s="55"/>
      <c r="AV19" s="55"/>
      <c r="AW19" s="55"/>
      <c r="AX19" s="55"/>
      <c r="AY19" s="55"/>
      <c r="AZ19" s="55"/>
      <c r="BA19" s="55"/>
      <c r="BB19" s="55"/>
    </row>
    <row r="20" spans="1:60" s="3" customFormat="1" ht="13.2" customHeight="1" thickBot="1" x14ac:dyDescent="0.35">
      <c r="A20" s="58"/>
      <c r="B20" s="58"/>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4"/>
      <c r="AZ20" s="424"/>
      <c r="BA20" s="424"/>
      <c r="BB20" s="424"/>
      <c r="BE20" s="63"/>
      <c r="BF20" s="63"/>
      <c r="BG20" s="430"/>
      <c r="BH20" s="63"/>
    </row>
    <row r="21" spans="1:60" s="799" customFormat="1" ht="39.6" customHeight="1" x14ac:dyDescent="0.3">
      <c r="A21" s="784" t="e" vm="3">
        <v>#VALUE!</v>
      </c>
      <c r="B21" s="785" t="e" vm="2">
        <v>#VALUE!</v>
      </c>
      <c r="C21" s="786"/>
      <c r="D21" s="787" t="s">
        <v>226</v>
      </c>
      <c r="E21" s="788"/>
      <c r="F21" s="789"/>
      <c r="G21" s="790"/>
      <c r="H21" s="787" t="s">
        <v>226</v>
      </c>
      <c r="I21" s="791"/>
      <c r="J21" s="789"/>
      <c r="K21" s="790"/>
      <c r="L21" s="787" t="s">
        <v>226</v>
      </c>
      <c r="M21" s="791"/>
      <c r="N21" s="789"/>
      <c r="O21" s="790"/>
      <c r="P21" s="787" t="s">
        <v>226</v>
      </c>
      <c r="Q21" s="791"/>
      <c r="R21" s="789"/>
      <c r="S21" s="790"/>
      <c r="T21" s="787" t="s">
        <v>226</v>
      </c>
      <c r="U21" s="791"/>
      <c r="V21" s="789"/>
      <c r="W21" s="790"/>
      <c r="X21" s="787" t="s">
        <v>226</v>
      </c>
      <c r="Y21" s="791"/>
      <c r="Z21" s="789"/>
      <c r="AA21" s="790"/>
      <c r="AB21" s="787" t="s">
        <v>226</v>
      </c>
      <c r="AC21" s="791"/>
      <c r="AD21" s="789"/>
      <c r="AE21" s="790"/>
      <c r="AF21" s="787" t="s">
        <v>226</v>
      </c>
      <c r="AG21" s="791"/>
      <c r="AH21" s="789"/>
      <c r="AI21" s="790"/>
      <c r="AJ21" s="787" t="s">
        <v>226</v>
      </c>
      <c r="AK21" s="791"/>
      <c r="AL21" s="789"/>
      <c r="AM21" s="790"/>
      <c r="AN21" s="787" t="s">
        <v>226</v>
      </c>
      <c r="AO21" s="791"/>
      <c r="AP21" s="789"/>
      <c r="AQ21" s="790"/>
      <c r="AR21" s="787" t="s">
        <v>226</v>
      </c>
      <c r="AS21" s="791"/>
      <c r="AT21" s="792"/>
      <c r="AU21" s="790"/>
      <c r="AV21" s="787" t="s">
        <v>226</v>
      </c>
      <c r="AW21" s="793"/>
      <c r="AX21" s="794"/>
      <c r="AY21" s="795"/>
      <c r="AZ21" s="796" t="s">
        <v>226</v>
      </c>
      <c r="BA21" s="797"/>
      <c r="BB21" s="795"/>
      <c r="BC21" s="798"/>
      <c r="BE21" s="798"/>
      <c r="BF21" s="798"/>
      <c r="BG21" s="798"/>
    </row>
    <row r="22" spans="1:60" s="812" customFormat="1" ht="28.8" customHeight="1" x14ac:dyDescent="0.3">
      <c r="A22" s="983" t="s">
        <v>214</v>
      </c>
      <c r="B22" s="984"/>
      <c r="C22" s="800"/>
      <c r="D22" s="801" t="s">
        <v>8</v>
      </c>
      <c r="E22" s="802"/>
      <c r="F22" s="803"/>
      <c r="G22" s="800"/>
      <c r="H22" s="801" t="str">
        <f>LEFT(D22,LEN(D22)-LEN(RIGHT(D22,LEN(D22)-FIND(" ",D22)))) &amp; " " &amp; (RIGHT(D22,LEN(D22)-FIND(" ",D22)) + 1)</f>
        <v>Month  2</v>
      </c>
      <c r="I22" s="804"/>
      <c r="J22" s="803"/>
      <c r="K22" s="800"/>
      <c r="L22" s="801" t="str">
        <f>LEFT(H22,LEN(H22)-LEN(RIGHT(H22,LEN(H22)-FIND(" ",H22)))) &amp; " " &amp; (RIGHT(H22,LEN(H22)-FIND(" ",H22)) + 1)</f>
        <v>Month  3</v>
      </c>
      <c r="M22" s="804"/>
      <c r="N22" s="803"/>
      <c r="O22" s="800"/>
      <c r="P22" s="801" t="str">
        <f>LEFT(L22,LEN(L22)-LEN(RIGHT(L22,LEN(L22)-FIND(" ",L22)))) &amp; " " &amp; (RIGHT(L22,LEN(L22)-FIND(" ",L22)) + 1)</f>
        <v>Month  4</v>
      </c>
      <c r="Q22" s="804"/>
      <c r="R22" s="803"/>
      <c r="S22" s="800"/>
      <c r="T22" s="801" t="str">
        <f>LEFT(P22,LEN(P22)-LEN(RIGHT(P22,LEN(P22)-FIND(" ",P22)))) &amp; " " &amp; (RIGHT(P22,LEN(P22)-FIND(" ",P22)) + 1)</f>
        <v>Month  5</v>
      </c>
      <c r="U22" s="801"/>
      <c r="V22" s="803"/>
      <c r="W22" s="805"/>
      <c r="X22" s="801" t="str">
        <f>LEFT(T22,LEN(T22)-LEN(RIGHT(T22,LEN(T22)-FIND(" ",T22)))) &amp; " " &amp; (RIGHT(T22,LEN(T22)-FIND(" ",T22)) + 1)</f>
        <v>Month  6</v>
      </c>
      <c r="Y22" s="801"/>
      <c r="Z22" s="803"/>
      <c r="AA22" s="805"/>
      <c r="AB22" s="801" t="str">
        <f>LEFT(X22,LEN(X22)-LEN(RIGHT(X22,LEN(X22)-FIND(" ",X22)))) &amp; " " &amp; (RIGHT(X22,LEN(X22)-FIND(" ",X22)) + 1)</f>
        <v>Month  7</v>
      </c>
      <c r="AC22" s="801"/>
      <c r="AD22" s="803"/>
      <c r="AE22" s="805"/>
      <c r="AF22" s="801" t="str">
        <f>LEFT(AB22,LEN(AB22)-LEN(RIGHT(AB22,LEN(AB22)-FIND(" ",AB22)))) &amp; " " &amp; (RIGHT(AB22,LEN(AB22)-FIND(" ",AB22)) + 1)</f>
        <v>Month  8</v>
      </c>
      <c r="AG22" s="801"/>
      <c r="AH22" s="803"/>
      <c r="AI22" s="805"/>
      <c r="AJ22" s="801" t="str">
        <f>LEFT(AF22,LEN(AF22)-LEN(RIGHT(AF22,LEN(AF22)-FIND(" ",AF22)))) &amp; " " &amp; (RIGHT(AF22,LEN(AF22)-FIND(" ",AF22)) + 1)</f>
        <v>Month  9</v>
      </c>
      <c r="AK22" s="801"/>
      <c r="AL22" s="803"/>
      <c r="AM22" s="805"/>
      <c r="AN22" s="801" t="str">
        <f>LEFT(AJ22,LEN(AJ22)-LEN(RIGHT(AJ22,LEN(AJ22)-FIND(" ",AJ22)))) &amp; " " &amp; (RIGHT(AJ22,LEN(AJ22)-FIND(" ",AJ22)) + 1)</f>
        <v>Month  10</v>
      </c>
      <c r="AO22" s="801"/>
      <c r="AP22" s="803"/>
      <c r="AQ22" s="805"/>
      <c r="AR22" s="801" t="str">
        <f>LEFT(AN22,LEN(AN22)-LEN(RIGHT(AN22,LEN(AN22)-FIND(" ",AN22)))) &amp; " " &amp; (RIGHT(AN22,LEN(AN22)-FIND(" ",AN22)) + 1)</f>
        <v>Month  11</v>
      </c>
      <c r="AS22" s="801"/>
      <c r="AT22" s="803"/>
      <c r="AU22" s="806"/>
      <c r="AV22" s="801" t="str">
        <f>LEFT(AR22,LEN(AR22)-LEN(RIGHT(AR22,LEN(AR22)-FIND(" ",AR22)))) &amp; " " &amp; (RIGHT(AR22,LEN(AR22)-FIND(" ",AR22)) + 1)</f>
        <v>Month  12</v>
      </c>
      <c r="AW22" s="801"/>
      <c r="AX22" s="807"/>
      <c r="AY22" s="808"/>
      <c r="AZ22" s="809" t="s">
        <v>218</v>
      </c>
      <c r="BA22" s="808"/>
      <c r="BB22" s="808"/>
      <c r="BC22" s="810"/>
      <c r="BD22" s="811"/>
      <c r="BE22" s="811"/>
      <c r="BF22" s="811"/>
      <c r="BG22" s="811"/>
    </row>
    <row r="23" spans="1:60" s="817" customFormat="1" ht="18.600000000000001" customHeight="1" x14ac:dyDescent="0.3">
      <c r="A23" s="813" t="s">
        <v>216</v>
      </c>
      <c r="B23" s="814"/>
      <c r="C23" s="815"/>
      <c r="D23" s="816">
        <v>0.01</v>
      </c>
      <c r="F23" s="818"/>
      <c r="G23" s="815"/>
      <c r="H23" s="816">
        <v>0.03</v>
      </c>
      <c r="J23" s="818"/>
      <c r="K23" s="815"/>
      <c r="L23" s="816">
        <v>0.04</v>
      </c>
      <c r="N23" s="818"/>
      <c r="O23" s="815"/>
      <c r="P23" s="816">
        <v>0.08</v>
      </c>
      <c r="Q23" s="819"/>
      <c r="R23" s="818"/>
      <c r="S23" s="815"/>
      <c r="T23" s="816">
        <v>0.1</v>
      </c>
      <c r="U23" s="819"/>
      <c r="V23" s="818"/>
      <c r="W23" s="815"/>
      <c r="X23" s="816">
        <v>0.12</v>
      </c>
      <c r="Y23" s="819"/>
      <c r="Z23" s="818"/>
      <c r="AA23" s="815"/>
      <c r="AB23" s="816">
        <v>0.13</v>
      </c>
      <c r="AC23" s="819"/>
      <c r="AD23" s="818"/>
      <c r="AE23" s="815"/>
      <c r="AF23" s="816">
        <v>0.14000000000000001</v>
      </c>
      <c r="AG23" s="819"/>
      <c r="AH23" s="818"/>
      <c r="AI23" s="815"/>
      <c r="AJ23" s="816">
        <v>0.16</v>
      </c>
      <c r="AK23" s="819"/>
      <c r="AL23" s="818"/>
      <c r="AM23" s="815"/>
      <c r="AN23" s="816">
        <v>0.18</v>
      </c>
      <c r="AO23" s="819"/>
      <c r="AP23" s="818"/>
      <c r="AQ23" s="815"/>
      <c r="AR23" s="816">
        <v>0.2</v>
      </c>
      <c r="AS23" s="819"/>
      <c r="AT23" s="820"/>
      <c r="AU23" s="815"/>
      <c r="AV23" s="816">
        <v>0.21</v>
      </c>
      <c r="AW23" s="821"/>
      <c r="AX23" s="822"/>
      <c r="AY23" s="795"/>
      <c r="AZ23" s="823">
        <f>AZ24/AZ6</f>
        <v>0.13961656666178837</v>
      </c>
      <c r="BA23" s="795"/>
      <c r="BB23" s="795"/>
      <c r="BC23" s="821"/>
    </row>
    <row r="24" spans="1:60" s="817" customFormat="1" ht="18.600000000000001" customHeight="1" x14ac:dyDescent="0.3">
      <c r="A24" s="824" t="s">
        <v>215</v>
      </c>
      <c r="B24" s="825"/>
      <c r="C24" s="826"/>
      <c r="D24" s="827">
        <f>INT(D18*D23/(1-D23))</f>
        <v>0</v>
      </c>
      <c r="E24" s="828"/>
      <c r="F24" s="829"/>
      <c r="G24" s="826"/>
      <c r="H24" s="827">
        <f>INT(H18*H23/(1-H23))</f>
        <v>1</v>
      </c>
      <c r="I24" s="828"/>
      <c r="J24" s="829"/>
      <c r="K24" s="826"/>
      <c r="L24" s="827">
        <f>INT(L18*L23/(1-L23))</f>
        <v>23</v>
      </c>
      <c r="M24" s="828"/>
      <c r="N24" s="829"/>
      <c r="O24" s="826"/>
      <c r="P24" s="827">
        <f>INT(P18*P23/(1-P23))</f>
        <v>48</v>
      </c>
      <c r="Q24" s="830"/>
      <c r="R24" s="829"/>
      <c r="S24" s="826"/>
      <c r="T24" s="827">
        <f>INT(T18*T23/(1-T23))</f>
        <v>69</v>
      </c>
      <c r="U24" s="830"/>
      <c r="V24" s="829"/>
      <c r="W24" s="826"/>
      <c r="X24" s="827">
        <f>INT(X18*X23/(1-X23))</f>
        <v>66</v>
      </c>
      <c r="Y24" s="830"/>
      <c r="Z24" s="829"/>
      <c r="AA24" s="826"/>
      <c r="AB24" s="827">
        <f>INT(AB18*AB23/(1-AB23))</f>
        <v>74</v>
      </c>
      <c r="AC24" s="830"/>
      <c r="AD24" s="829"/>
      <c r="AE24" s="826"/>
      <c r="AF24" s="827">
        <f>INT(AF18*AF23/(1-AF23))</f>
        <v>100</v>
      </c>
      <c r="AG24" s="830"/>
      <c r="AH24" s="829"/>
      <c r="AI24" s="826"/>
      <c r="AJ24" s="827">
        <f>INT(AJ18*AJ23/(1-AJ23))</f>
        <v>120</v>
      </c>
      <c r="AK24" s="830"/>
      <c r="AL24" s="829"/>
      <c r="AM24" s="826"/>
      <c r="AN24" s="827">
        <f>INT(AN18*AN23/(1-AN23))</f>
        <v>136</v>
      </c>
      <c r="AO24" s="830"/>
      <c r="AP24" s="829"/>
      <c r="AQ24" s="826"/>
      <c r="AR24" s="827">
        <f>INT(AR18*AR23/(1-AR23))</f>
        <v>155</v>
      </c>
      <c r="AS24" s="830"/>
      <c r="AT24" s="831"/>
      <c r="AU24" s="826"/>
      <c r="AV24" s="827">
        <f>INT(AV18*AV23/(1-AV23))</f>
        <v>162</v>
      </c>
      <c r="AW24" s="832"/>
      <c r="AX24" s="833"/>
      <c r="AY24" s="795"/>
      <c r="AZ24" s="834">
        <f>SUM(B24:AY24)</f>
        <v>954</v>
      </c>
      <c r="BA24" s="795"/>
      <c r="BB24" s="795"/>
      <c r="BC24" s="821"/>
    </row>
    <row r="25" spans="1:60" s="456" customFormat="1" ht="19.2" customHeight="1" x14ac:dyDescent="0.3">
      <c r="C25" s="454"/>
      <c r="E25" s="454"/>
      <c r="F25" s="454"/>
      <c r="G25" s="454"/>
      <c r="I25" s="454"/>
      <c r="J25" s="454"/>
      <c r="K25" s="454"/>
      <c r="M25" s="454"/>
      <c r="N25" s="454"/>
      <c r="O25" s="454"/>
      <c r="Q25" s="454"/>
      <c r="R25" s="454"/>
      <c r="S25" s="454"/>
      <c r="U25" s="454"/>
      <c r="V25" s="454"/>
      <c r="W25" s="454"/>
      <c r="Y25" s="454"/>
      <c r="Z25" s="454"/>
      <c r="AA25" s="454"/>
      <c r="AC25" s="454"/>
      <c r="AD25" s="454"/>
      <c r="AE25" s="454"/>
      <c r="AG25" s="454"/>
      <c r="AH25" s="454"/>
      <c r="AI25" s="454"/>
      <c r="AK25" s="454"/>
      <c r="AL25" s="454"/>
      <c r="AM25" s="454"/>
      <c r="AO25" s="454"/>
      <c r="AP25" s="454"/>
      <c r="AQ25" s="454"/>
      <c r="AS25" s="454"/>
    </row>
    <row r="26" spans="1:60" ht="13.2" customHeight="1" x14ac:dyDescent="0.3">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S26" s="232"/>
      <c r="AT26" s="55"/>
      <c r="AU26" s="55"/>
      <c r="AV26" s="55"/>
      <c r="AW26" s="55"/>
      <c r="AX26" s="428"/>
      <c r="AY26" s="428"/>
      <c r="AZ26" s="428"/>
      <c r="BA26" s="428"/>
      <c r="BB26" s="428"/>
      <c r="BC26" s="55"/>
    </row>
    <row r="27" spans="1:60" s="427" customFormat="1" ht="26.4" customHeight="1" x14ac:dyDescent="0.3">
      <c r="A27" s="461" t="s">
        <v>207</v>
      </c>
      <c r="B27" s="462" t="e" vm="4">
        <v>#VALUE!</v>
      </c>
      <c r="C27" s="463"/>
      <c r="D27" s="464"/>
      <c r="E27" s="464"/>
      <c r="F27" s="465" t="s">
        <v>210</v>
      </c>
      <c r="G27" s="466"/>
      <c r="H27" s="467"/>
      <c r="I27" s="467"/>
      <c r="J27" s="465" t="s">
        <v>210</v>
      </c>
      <c r="K27" s="468"/>
      <c r="L27" s="467"/>
      <c r="M27" s="467"/>
      <c r="N27" s="465" t="s">
        <v>210</v>
      </c>
      <c r="O27" s="468"/>
      <c r="P27" s="467"/>
      <c r="Q27" s="467"/>
      <c r="R27" s="465" t="s">
        <v>210</v>
      </c>
      <c r="S27" s="468"/>
      <c r="T27" s="467"/>
      <c r="U27" s="467"/>
      <c r="V27" s="584" t="s">
        <v>210</v>
      </c>
      <c r="W27" s="468"/>
      <c r="X27" s="467"/>
      <c r="Y27" s="467"/>
      <c r="Z27" s="465" t="s">
        <v>210</v>
      </c>
      <c r="AA27" s="468"/>
      <c r="AB27" s="467"/>
      <c r="AC27" s="467"/>
      <c r="AD27" s="465" t="s">
        <v>210</v>
      </c>
      <c r="AE27" s="468"/>
      <c r="AF27" s="467"/>
      <c r="AG27" s="467"/>
      <c r="AH27" s="465" t="s">
        <v>210</v>
      </c>
      <c r="AI27" s="468"/>
      <c r="AJ27" s="467"/>
      <c r="AK27" s="467"/>
      <c r="AL27" s="584" t="s">
        <v>210</v>
      </c>
      <c r="AM27" s="468"/>
      <c r="AN27" s="467"/>
      <c r="AO27" s="467"/>
      <c r="AP27" s="465" t="s">
        <v>210</v>
      </c>
      <c r="AQ27" s="468"/>
      <c r="AR27" s="467"/>
      <c r="AS27" s="467"/>
      <c r="AT27" s="465" t="s">
        <v>210</v>
      </c>
      <c r="AU27" s="468"/>
      <c r="AV27" s="469"/>
      <c r="AW27" s="469"/>
      <c r="AX27" s="465" t="s">
        <v>210</v>
      </c>
      <c r="AY27" s="484"/>
      <c r="AZ27" s="484"/>
      <c r="BA27" s="484"/>
      <c r="BB27" s="484"/>
      <c r="BC27" s="470"/>
      <c r="BD27" s="471"/>
    </row>
    <row r="28" spans="1:60" ht="21.6" customHeight="1" x14ac:dyDescent="0.3">
      <c r="A28" s="985" t="s">
        <v>209</v>
      </c>
      <c r="B28" s="986"/>
      <c r="C28" s="231"/>
      <c r="D28" s="232"/>
      <c r="E28" s="232"/>
      <c r="F28" s="472" t="s">
        <v>8</v>
      </c>
      <c r="G28" s="473"/>
      <c r="H28" s="454"/>
      <c r="I28" s="454"/>
      <c r="J28" s="472" t="str">
        <f>LEFT(F28,LEN(F28)-LEN(RIGHT(F28,LEN(F28)-FIND(" ",F28)))) &amp; " " &amp; (RIGHT(F28,LEN(F28)-FIND(" ",F28)) + 1)</f>
        <v>Month  2</v>
      </c>
      <c r="K28" s="455"/>
      <c r="L28" s="454"/>
      <c r="M28" s="454"/>
      <c r="N28" s="472" t="str">
        <f>LEFT(J28,LEN(J28)-LEN(RIGHT(J28,LEN(J28)-FIND(" ",J28)))) &amp; " " &amp; (RIGHT(J28,LEN(J28)-FIND(" ",J28)) + 1)</f>
        <v>Month  3</v>
      </c>
      <c r="O28" s="455"/>
      <c r="P28" s="454"/>
      <c r="Q28" s="454"/>
      <c r="R28" s="472" t="str">
        <f>LEFT(N28,LEN(N28)-LEN(RIGHT(N28,LEN(N28)-FIND(" ",N28)))) &amp; " " &amp; (RIGHT(N28,LEN(N28)-FIND(" ",N28)) + 1)</f>
        <v>Month  4</v>
      </c>
      <c r="S28" s="455"/>
      <c r="T28" s="454"/>
      <c r="U28" s="454"/>
      <c r="V28" s="446" t="str">
        <f>LEFT(R28,LEN(R28)-LEN(RIGHT(R28,LEN(R28)-FIND(" ",R28)))) &amp; " " &amp; (RIGHT(R28,LEN(R28)-FIND(" ",R28)) + 1)</f>
        <v>Month  5</v>
      </c>
      <c r="W28" s="455"/>
      <c r="X28" s="454"/>
      <c r="Y28" s="454"/>
      <c r="Z28" s="472" t="str">
        <f>LEFT(V28,LEN(V28)-LEN(RIGHT(V28,LEN(V28)-FIND(" ",V28)))) &amp; " " &amp; (RIGHT(V28,LEN(V28)-FIND(" ",V28)) + 1)</f>
        <v>Month  6</v>
      </c>
      <c r="AA28" s="455"/>
      <c r="AB28" s="454"/>
      <c r="AC28" s="454"/>
      <c r="AD28" s="472" t="str">
        <f>LEFT(Z28,LEN(Z28)-LEN(RIGHT(Z28,LEN(Z28)-FIND(" ",Z28)))) &amp; " " &amp; (RIGHT(Z28,LEN(Z28)-FIND(" ",Z28)) + 1)</f>
        <v>Month  7</v>
      </c>
      <c r="AE28" s="455"/>
      <c r="AF28" s="454"/>
      <c r="AG28" s="454"/>
      <c r="AH28" s="472" t="str">
        <f>LEFT(AD28,LEN(AD28)-LEN(RIGHT(AD28,LEN(AD28)-FIND(" ",AD28)))) &amp; " " &amp; (RIGHT(AD28,LEN(AD28)-FIND(" ",AD28)) + 1)</f>
        <v>Month  8</v>
      </c>
      <c r="AI28" s="455"/>
      <c r="AJ28" s="454"/>
      <c r="AK28" s="454"/>
      <c r="AL28" s="446" t="str">
        <f>LEFT(AH28,LEN(AH28)-LEN(RIGHT(AH28,LEN(AH28)-FIND(" ",AH28)))) &amp; " " &amp; (RIGHT(AH28,LEN(AH28)-FIND(" ",AH28)) + 1)</f>
        <v>Month  9</v>
      </c>
      <c r="AM28" s="455"/>
      <c r="AN28" s="454"/>
      <c r="AO28" s="454"/>
      <c r="AP28" s="472" t="str">
        <f>LEFT(AL28,LEN(AL28)-LEN(RIGHT(AL28,LEN(AL28)-FIND(" ",AL28)))) &amp; " " &amp; (RIGHT(AL28,LEN(AL28)-FIND(" ",AL28)) + 1)</f>
        <v>Month  10</v>
      </c>
      <c r="AQ28" s="455"/>
      <c r="AR28" s="454"/>
      <c r="AS28" s="454"/>
      <c r="AT28" s="472" t="str">
        <f>LEFT(AP28,LEN(AP28)-LEN(RIGHT(AP28,LEN(AP28)-FIND(" ",AP28)))) &amp; " " &amp; (RIGHT(AP28,LEN(AP28)-FIND(" ",AP28)) + 1)</f>
        <v>Month  11</v>
      </c>
      <c r="AU28" s="455"/>
      <c r="AV28" s="456"/>
      <c r="AW28" s="456"/>
      <c r="AX28" s="472" t="str">
        <f>LEFT(AT28,LEN(AT28)-LEN(RIGHT(AT28,LEN(AT28)-FIND(" ",AT28)))) &amp; " " &amp; (RIGHT(AT28,LEN(AT28)-FIND(" ",AT28)) + 1)</f>
        <v>Month  12</v>
      </c>
      <c r="AY28" s="446"/>
      <c r="AZ28" s="446"/>
      <c r="BA28" s="446"/>
      <c r="BB28" s="446"/>
      <c r="BC28" s="456"/>
      <c r="BD28" s="474"/>
    </row>
    <row r="29" spans="1:60" s="579" customFormat="1" ht="18.600000000000001" customHeight="1" x14ac:dyDescent="0.3">
      <c r="A29" s="59" t="s">
        <v>95</v>
      </c>
      <c r="B29" s="475"/>
      <c r="C29" s="476"/>
      <c r="D29" s="578"/>
      <c r="E29" s="578"/>
      <c r="F29" s="477">
        <v>0.02</v>
      </c>
      <c r="G29" s="478"/>
      <c r="H29" s="578"/>
      <c r="I29" s="578"/>
      <c r="J29" s="477">
        <v>0.02</v>
      </c>
      <c r="K29" s="478"/>
      <c r="L29" s="578"/>
      <c r="M29" s="578"/>
      <c r="N29" s="477">
        <v>0.02</v>
      </c>
      <c r="O29" s="478"/>
      <c r="P29" s="578"/>
      <c r="Q29" s="578"/>
      <c r="R29" s="477">
        <v>0.02</v>
      </c>
      <c r="S29" s="478"/>
      <c r="T29" s="578"/>
      <c r="U29" s="578"/>
      <c r="V29" s="477">
        <v>0.02</v>
      </c>
      <c r="W29" s="478"/>
      <c r="X29" s="578"/>
      <c r="Y29" s="578"/>
      <c r="Z29" s="477">
        <v>0.02</v>
      </c>
      <c r="AA29" s="478"/>
      <c r="AB29" s="578"/>
      <c r="AC29" s="578"/>
      <c r="AD29" s="477">
        <v>0.02</v>
      </c>
      <c r="AE29" s="478"/>
      <c r="AF29" s="578"/>
      <c r="AG29" s="578"/>
      <c r="AH29" s="477">
        <v>0.02</v>
      </c>
      <c r="AI29" s="478"/>
      <c r="AJ29" s="578"/>
      <c r="AK29" s="578"/>
      <c r="AL29" s="477">
        <v>0.02</v>
      </c>
      <c r="AM29" s="478"/>
      <c r="AN29" s="578"/>
      <c r="AO29" s="578"/>
      <c r="AP29" s="477">
        <v>0.02</v>
      </c>
      <c r="AQ29" s="478"/>
      <c r="AR29" s="578"/>
      <c r="AS29" s="578"/>
      <c r="AT29" s="477">
        <v>0.02</v>
      </c>
      <c r="AU29" s="478"/>
      <c r="AV29" s="578"/>
      <c r="AW29" s="578"/>
      <c r="AX29" s="477">
        <v>0.02</v>
      </c>
      <c r="AY29" s="578"/>
      <c r="AZ29" s="578"/>
      <c r="BA29" s="578"/>
      <c r="BB29" s="578"/>
    </row>
    <row r="30" spans="1:60" s="56" customFormat="1" ht="18.600000000000001" customHeight="1" x14ac:dyDescent="0.3">
      <c r="A30" s="59" t="s">
        <v>96</v>
      </c>
      <c r="B30" s="131"/>
      <c r="C30" s="479"/>
      <c r="D30" s="578"/>
      <c r="E30" s="578"/>
      <c r="F30" s="477">
        <v>0.3</v>
      </c>
      <c r="G30" s="478"/>
      <c r="H30" s="578"/>
      <c r="I30" s="578"/>
      <c r="J30" s="477">
        <v>0.3</v>
      </c>
      <c r="K30" s="478"/>
      <c r="L30" s="578"/>
      <c r="M30" s="578"/>
      <c r="N30" s="477">
        <v>0.28000000000000003</v>
      </c>
      <c r="O30" s="478"/>
      <c r="P30" s="578"/>
      <c r="Q30" s="578"/>
      <c r="R30" s="477">
        <v>0.26</v>
      </c>
      <c r="S30" s="478"/>
      <c r="T30" s="578"/>
      <c r="U30" s="578"/>
      <c r="V30" s="578">
        <v>0.25</v>
      </c>
      <c r="W30" s="478"/>
      <c r="X30" s="578"/>
      <c r="Y30" s="578"/>
      <c r="Z30" s="477">
        <v>0.25</v>
      </c>
      <c r="AA30" s="478"/>
      <c r="AB30" s="578"/>
      <c r="AC30" s="578"/>
      <c r="AD30" s="477">
        <v>0.24</v>
      </c>
      <c r="AE30" s="478"/>
      <c r="AF30" s="578"/>
      <c r="AG30" s="578"/>
      <c r="AH30" s="477">
        <v>0.24</v>
      </c>
      <c r="AI30" s="478"/>
      <c r="AJ30" s="578"/>
      <c r="AK30" s="578"/>
      <c r="AL30" s="578">
        <v>0.23</v>
      </c>
      <c r="AM30" s="478"/>
      <c r="AN30" s="578"/>
      <c r="AO30" s="578"/>
      <c r="AP30" s="477">
        <v>0.23</v>
      </c>
      <c r="AQ30" s="478"/>
      <c r="AR30" s="578"/>
      <c r="AS30" s="578"/>
      <c r="AT30" s="477">
        <v>0.22</v>
      </c>
      <c r="AU30" s="478"/>
      <c r="AV30" s="578"/>
      <c r="AW30" s="578"/>
      <c r="AX30" s="477">
        <v>0.22</v>
      </c>
      <c r="AY30" s="449"/>
      <c r="AZ30" s="449"/>
      <c r="BA30" s="449"/>
      <c r="BB30" s="449"/>
      <c r="BC30" s="580"/>
      <c r="BD30" s="580"/>
    </row>
    <row r="31" spans="1:60" s="56" customFormat="1" ht="18.600000000000001" customHeight="1" x14ac:dyDescent="0.3">
      <c r="A31" s="60" t="s">
        <v>97</v>
      </c>
      <c r="B31" s="425"/>
      <c r="C31" s="426"/>
      <c r="D31" s="581"/>
      <c r="E31" s="581"/>
      <c r="F31" s="582">
        <v>0.4</v>
      </c>
      <c r="G31" s="583"/>
      <c r="H31" s="581"/>
      <c r="I31" s="581"/>
      <c r="J31" s="582">
        <v>0.35</v>
      </c>
      <c r="K31" s="583"/>
      <c r="L31" s="581"/>
      <c r="M31" s="581"/>
      <c r="N31" s="582">
        <v>0.3</v>
      </c>
      <c r="O31" s="583"/>
      <c r="P31" s="581"/>
      <c r="Q31" s="581"/>
      <c r="R31" s="582">
        <v>0.25</v>
      </c>
      <c r="S31" s="583"/>
      <c r="T31" s="581"/>
      <c r="U31" s="581"/>
      <c r="V31" s="581">
        <v>0.22</v>
      </c>
      <c r="W31" s="583"/>
      <c r="X31" s="581"/>
      <c r="Y31" s="581"/>
      <c r="Z31" s="582">
        <v>0.22</v>
      </c>
      <c r="AA31" s="583"/>
      <c r="AB31" s="581"/>
      <c r="AC31" s="581"/>
      <c r="AD31" s="582">
        <v>0.21</v>
      </c>
      <c r="AE31" s="583"/>
      <c r="AF31" s="581"/>
      <c r="AG31" s="581"/>
      <c r="AH31" s="582">
        <v>0.21</v>
      </c>
      <c r="AI31" s="583"/>
      <c r="AJ31" s="581"/>
      <c r="AK31" s="581"/>
      <c r="AL31" s="581">
        <v>0.2</v>
      </c>
      <c r="AM31" s="583"/>
      <c r="AN31" s="581"/>
      <c r="AO31" s="581"/>
      <c r="AP31" s="582">
        <v>0.2</v>
      </c>
      <c r="AQ31" s="583"/>
      <c r="AR31" s="581"/>
      <c r="AS31" s="581"/>
      <c r="AT31" s="582">
        <v>0.19</v>
      </c>
      <c r="AU31" s="583"/>
      <c r="AV31" s="581"/>
      <c r="AW31" s="581"/>
      <c r="AX31" s="582">
        <v>0.19</v>
      </c>
      <c r="AY31" s="449"/>
      <c r="AZ31" s="449"/>
      <c r="BA31" s="449"/>
      <c r="BB31" s="449"/>
    </row>
    <row r="32" spans="1:60" s="56" customFormat="1" ht="31.2" customHeight="1" x14ac:dyDescent="0.3">
      <c r="A32" s="283" t="s">
        <v>227</v>
      </c>
      <c r="C32" s="234"/>
      <c r="D32" s="234"/>
      <c r="E32" s="234"/>
      <c r="F32" s="449"/>
      <c r="G32" s="234"/>
      <c r="H32" s="234"/>
      <c r="I32" s="234"/>
      <c r="J32" s="449"/>
      <c r="K32" s="234"/>
      <c r="L32" s="234"/>
      <c r="M32" s="234"/>
      <c r="N32" s="449"/>
      <c r="O32" s="234"/>
      <c r="P32" s="234"/>
      <c r="Q32" s="234"/>
      <c r="R32" s="449"/>
      <c r="S32" s="234"/>
      <c r="T32" s="234"/>
      <c r="U32" s="234"/>
      <c r="V32" s="449"/>
      <c r="W32" s="234"/>
      <c r="X32" s="234"/>
      <c r="Y32" s="234"/>
      <c r="Z32" s="449"/>
      <c r="AA32" s="234"/>
      <c r="AB32" s="234"/>
      <c r="AC32" s="234"/>
      <c r="AD32" s="449"/>
      <c r="AE32" s="234"/>
      <c r="AF32" s="234"/>
      <c r="AG32" s="234"/>
      <c r="AH32" s="449"/>
      <c r="AI32" s="234"/>
      <c r="AJ32" s="234"/>
      <c r="AK32" s="234"/>
      <c r="AL32" s="449"/>
      <c r="AM32" s="234"/>
      <c r="AN32" s="234"/>
      <c r="AO32" s="234"/>
      <c r="AP32" s="449"/>
      <c r="AQ32" s="234"/>
      <c r="AR32" s="234"/>
      <c r="AS32" s="234"/>
      <c r="AT32" s="449"/>
      <c r="AX32" s="449"/>
      <c r="AY32" s="449"/>
      <c r="AZ32" s="449"/>
      <c r="BA32" s="449"/>
      <c r="BB32" s="449"/>
    </row>
    <row r="33" spans="1:55" ht="16.8" customHeight="1" x14ac:dyDescent="0.3">
      <c r="C33" s="232"/>
      <c r="D33" s="232"/>
      <c r="E33" s="232"/>
      <c r="F33" s="232"/>
      <c r="G33" s="232"/>
      <c r="H33" s="232"/>
      <c r="I33" s="232"/>
      <c r="J33" s="232"/>
      <c r="K33" s="232"/>
      <c r="L33" s="232"/>
      <c r="M33" s="232"/>
      <c r="N33" s="585"/>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S33" s="232"/>
      <c r="AT33" s="55"/>
      <c r="AU33" s="55"/>
      <c r="AV33" s="55"/>
      <c r="AW33" s="55"/>
      <c r="AX33" s="428"/>
      <c r="AY33" s="428"/>
      <c r="AZ33" s="428"/>
      <c r="BA33" s="428"/>
      <c r="BB33" s="428"/>
      <c r="BC33" s="55"/>
    </row>
    <row r="34" spans="1:55" ht="16.8" customHeight="1" thickBot="1" x14ac:dyDescent="0.35">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585"/>
      <c r="AL34" s="232"/>
      <c r="AM34" s="232"/>
      <c r="AN34" s="232"/>
      <c r="AO34" s="232"/>
      <c r="AP34" s="232"/>
      <c r="AQ34" s="232"/>
      <c r="AR34" s="232"/>
      <c r="AS34" s="232"/>
      <c r="AT34" s="55"/>
      <c r="AU34" s="55"/>
      <c r="AV34" s="55"/>
      <c r="AW34" s="55"/>
      <c r="AX34" s="55"/>
      <c r="AY34" s="55"/>
      <c r="AZ34" s="55"/>
      <c r="BA34" s="55"/>
      <c r="BB34" s="55"/>
    </row>
    <row r="35" spans="1:55" ht="21.6" customHeight="1" x14ac:dyDescent="0.3">
      <c r="A35" s="441" t="s">
        <v>213</v>
      </c>
      <c r="B35" s="438" t="e" vm="5">
        <v>#VALUE!</v>
      </c>
      <c r="E35" s="447"/>
      <c r="F35" s="447"/>
      <c r="I35" s="232"/>
      <c r="X35" s="447"/>
      <c r="Y35" s="2"/>
      <c r="Z35" s="2"/>
    </row>
    <row r="36" spans="1:55" ht="21.6" customHeight="1" x14ac:dyDescent="0.3">
      <c r="A36" s="439" t="s">
        <v>103</v>
      </c>
      <c r="B36" s="442">
        <v>0.9</v>
      </c>
      <c r="E36" s="447"/>
      <c r="F36" s="447"/>
      <c r="I36" s="232"/>
      <c r="X36" s="447"/>
    </row>
    <row r="37" spans="1:55" ht="21.6" customHeight="1" x14ac:dyDescent="0.3">
      <c r="A37" s="439" t="s">
        <v>104</v>
      </c>
      <c r="B37" s="442">
        <v>0.08</v>
      </c>
      <c r="D37" s="447"/>
      <c r="E37" s="447"/>
      <c r="F37" s="447"/>
      <c r="I37" s="232"/>
      <c r="X37" s="447"/>
      <c r="Y37" s="449"/>
    </row>
    <row r="38" spans="1:55" ht="21.6" customHeight="1" x14ac:dyDescent="0.3">
      <c r="A38" s="439" t="s">
        <v>97</v>
      </c>
      <c r="B38" s="443">
        <v>0.02</v>
      </c>
      <c r="D38" s="447"/>
      <c r="E38" s="447"/>
      <c r="F38" s="447"/>
      <c r="I38" s="232"/>
      <c r="X38" s="447"/>
      <c r="Y38" s="449"/>
    </row>
    <row r="39" spans="1:55" ht="21.6" customHeight="1" thickBot="1" x14ac:dyDescent="0.35">
      <c r="A39" s="440"/>
      <c r="B39" s="444">
        <f>SUM(B36:B38)</f>
        <v>1</v>
      </c>
      <c r="D39" s="447"/>
      <c r="E39" s="447"/>
      <c r="F39" s="447"/>
      <c r="I39" s="232"/>
      <c r="X39" s="447"/>
      <c r="Y39" s="449"/>
    </row>
    <row r="40" spans="1:55" ht="21.6" customHeight="1" x14ac:dyDescent="0.3">
      <c r="B40" s="56"/>
      <c r="I40" s="232"/>
      <c r="X40" s="447"/>
      <c r="Y40" s="449"/>
    </row>
    <row r="41" spans="1:55" ht="21.6" customHeight="1" x14ac:dyDescent="0.3">
      <c r="B41" s="56"/>
      <c r="D41" s="447"/>
      <c r="E41" s="447"/>
      <c r="F41" s="447"/>
      <c r="I41" s="232"/>
      <c r="X41" s="447"/>
      <c r="Y41" s="449"/>
    </row>
    <row r="42" spans="1:55" s="837" customFormat="1" ht="26.4" customHeight="1" x14ac:dyDescent="0.3">
      <c r="A42" s="835" t="s">
        <v>131</v>
      </c>
      <c r="B42" s="836"/>
      <c r="C42" s="978" t="s">
        <v>8</v>
      </c>
      <c r="D42" s="978"/>
      <c r="E42" s="978"/>
      <c r="F42" s="978"/>
      <c r="G42" s="978" t="s">
        <v>9</v>
      </c>
      <c r="H42" s="978"/>
      <c r="I42" s="978"/>
      <c r="J42" s="978"/>
      <c r="K42" s="978" t="s">
        <v>10</v>
      </c>
      <c r="L42" s="978"/>
      <c r="M42" s="978"/>
      <c r="N42" s="978"/>
      <c r="O42" s="978" t="s">
        <v>11</v>
      </c>
      <c r="P42" s="978"/>
      <c r="Q42" s="978"/>
      <c r="R42" s="978"/>
      <c r="S42" s="978" t="s">
        <v>12</v>
      </c>
      <c r="T42" s="978"/>
      <c r="U42" s="978"/>
      <c r="V42" s="978"/>
      <c r="W42" s="978" t="s">
        <v>13</v>
      </c>
      <c r="X42" s="978"/>
      <c r="Y42" s="978"/>
      <c r="Z42" s="978"/>
      <c r="AA42" s="978" t="s">
        <v>14</v>
      </c>
      <c r="AB42" s="978"/>
      <c r="AC42" s="978"/>
      <c r="AD42" s="978"/>
      <c r="AE42" s="978" t="s">
        <v>15</v>
      </c>
      <c r="AF42" s="978"/>
      <c r="AG42" s="978"/>
      <c r="AH42" s="978"/>
      <c r="AI42" s="978" t="s">
        <v>16</v>
      </c>
      <c r="AJ42" s="978"/>
      <c r="AK42" s="978"/>
      <c r="AL42" s="978"/>
      <c r="AM42" s="978" t="s">
        <v>17</v>
      </c>
      <c r="AN42" s="978"/>
      <c r="AO42" s="978"/>
      <c r="AP42" s="978"/>
      <c r="AQ42" s="978" t="s">
        <v>18</v>
      </c>
      <c r="AR42" s="978"/>
      <c r="AS42" s="978"/>
      <c r="AT42" s="978"/>
      <c r="AU42" s="978" t="s">
        <v>19</v>
      </c>
      <c r="AV42" s="978"/>
      <c r="AW42" s="978"/>
      <c r="AX42" s="978"/>
      <c r="AY42" s="840"/>
      <c r="AZ42" s="978" t="s">
        <v>20</v>
      </c>
      <c r="BA42" s="978"/>
      <c r="BB42" s="978"/>
    </row>
    <row r="43" spans="1:55" s="837" customFormat="1" ht="42" customHeight="1" x14ac:dyDescent="0.3">
      <c r="A43" s="835"/>
      <c r="B43" s="836"/>
      <c r="C43" s="230" t="s">
        <v>206</v>
      </c>
      <c r="D43" s="450" t="s">
        <v>102</v>
      </c>
      <c r="E43" s="488" t="s">
        <v>228</v>
      </c>
      <c r="F43" s="484" t="s">
        <v>217</v>
      </c>
      <c r="G43" s="230" t="s">
        <v>206</v>
      </c>
      <c r="H43" s="450" t="s">
        <v>102</v>
      </c>
      <c r="I43" s="488" t="s">
        <v>228</v>
      </c>
      <c r="J43" s="484" t="s">
        <v>217</v>
      </c>
      <c r="K43" s="230" t="s">
        <v>206</v>
      </c>
      <c r="L43" s="450" t="s">
        <v>102</v>
      </c>
      <c r="M43" s="488" t="s">
        <v>228</v>
      </c>
      <c r="N43" s="484" t="s">
        <v>217</v>
      </c>
      <c r="O43" s="230" t="s">
        <v>206</v>
      </c>
      <c r="P43" s="450" t="s">
        <v>102</v>
      </c>
      <c r="Q43" s="488" t="s">
        <v>228</v>
      </c>
      <c r="R43" s="484" t="s">
        <v>217</v>
      </c>
      <c r="S43" s="230" t="s">
        <v>206</v>
      </c>
      <c r="T43" s="450" t="s">
        <v>102</v>
      </c>
      <c r="U43" s="488" t="s">
        <v>228</v>
      </c>
      <c r="V43" s="484" t="s">
        <v>217</v>
      </c>
      <c r="W43" s="230" t="s">
        <v>206</v>
      </c>
      <c r="X43" s="450" t="s">
        <v>102</v>
      </c>
      <c r="Y43" s="488" t="s">
        <v>228</v>
      </c>
      <c r="Z43" s="484" t="s">
        <v>217</v>
      </c>
      <c r="AA43" s="230" t="s">
        <v>206</v>
      </c>
      <c r="AB43" s="450" t="s">
        <v>102</v>
      </c>
      <c r="AC43" s="488" t="s">
        <v>228</v>
      </c>
      <c r="AD43" s="484" t="s">
        <v>217</v>
      </c>
      <c r="AE43" s="230" t="s">
        <v>206</v>
      </c>
      <c r="AF43" s="450" t="s">
        <v>102</v>
      </c>
      <c r="AG43" s="488" t="s">
        <v>228</v>
      </c>
      <c r="AH43" s="484" t="s">
        <v>217</v>
      </c>
      <c r="AI43" s="230" t="s">
        <v>206</v>
      </c>
      <c r="AJ43" s="450" t="s">
        <v>102</v>
      </c>
      <c r="AK43" s="488" t="s">
        <v>228</v>
      </c>
      <c r="AL43" s="484" t="s">
        <v>217</v>
      </c>
      <c r="AM43" s="230" t="s">
        <v>206</v>
      </c>
      <c r="AN43" s="450" t="s">
        <v>102</v>
      </c>
      <c r="AO43" s="488" t="s">
        <v>228</v>
      </c>
      <c r="AP43" s="484" t="s">
        <v>217</v>
      </c>
      <c r="AQ43" s="230" t="s">
        <v>206</v>
      </c>
      <c r="AR43" s="450" t="s">
        <v>102</v>
      </c>
      <c r="AS43" s="488" t="s">
        <v>228</v>
      </c>
      <c r="AT43" s="484" t="s">
        <v>217</v>
      </c>
      <c r="AU43" s="230" t="s">
        <v>206</v>
      </c>
      <c r="AV43" s="450" t="s">
        <v>102</v>
      </c>
      <c r="AW43" s="488" t="s">
        <v>228</v>
      </c>
      <c r="AX43" s="484" t="s">
        <v>217</v>
      </c>
      <c r="AY43" s="840"/>
      <c r="AZ43" s="450" t="s">
        <v>212</v>
      </c>
      <c r="BA43" s="492" t="s">
        <v>229</v>
      </c>
      <c r="BB43" s="840"/>
    </row>
    <row r="44" spans="1:55" s="841" customFormat="1" ht="21" customHeight="1" x14ac:dyDescent="0.3">
      <c r="A44" s="837" t="s">
        <v>338</v>
      </c>
      <c r="C44" s="232">
        <v>0</v>
      </c>
      <c r="D44" s="842">
        <f>D$6*E11</f>
        <v>32</v>
      </c>
      <c r="E44" s="843">
        <f t="shared" ref="E44:E50" si="16">D44</f>
        <v>32</v>
      </c>
      <c r="F44" s="844">
        <f>F$6*E11</f>
        <v>-0.6</v>
      </c>
      <c r="G44" s="231">
        <f t="shared" ref="G44:G50" si="17">E44+F44</f>
        <v>31.4</v>
      </c>
      <c r="H44" s="842">
        <f>H$6*I11</f>
        <v>33</v>
      </c>
      <c r="I44" s="489">
        <f t="shared" ref="I44:I50" si="18">G44+H44</f>
        <v>64.400000000000006</v>
      </c>
      <c r="J44" s="844">
        <f t="shared" ref="J44:J50" si="19">J$6*I11</f>
        <v>-1.714</v>
      </c>
      <c r="K44" s="231">
        <f t="shared" ref="K44:K50" si="20">I44+J44</f>
        <v>62.686000000000007</v>
      </c>
      <c r="L44" s="842">
        <f>L$6*M11</f>
        <v>35.272727272727273</v>
      </c>
      <c r="M44" s="489">
        <f t="shared" ref="M44:M50" si="21">K44+L44</f>
        <v>97.958727272727288</v>
      </c>
      <c r="N44" s="844">
        <f t="shared" ref="N44:N50" si="22">N$6*M11</f>
        <v>-0.93000727272727268</v>
      </c>
      <c r="O44" s="231">
        <f t="shared" ref="O44:O50" si="23">M44+N44</f>
        <v>97.028720000000021</v>
      </c>
      <c r="P44" s="842">
        <f>P$6*Q11</f>
        <v>29.290613718411553</v>
      </c>
      <c r="Q44" s="489">
        <f t="shared" ref="Q44:Q50" si="24">O44+P44</f>
        <v>126.31933371841157</v>
      </c>
      <c r="R44" s="844">
        <f t="shared" ref="R44:R50" si="25">R$6*Q11</f>
        <v>-1.846191262093863</v>
      </c>
      <c r="S44" s="231">
        <f t="shared" ref="S44:S50" si="26">Q44+R44</f>
        <v>124.4731424563177</v>
      </c>
      <c r="T44" s="842">
        <f t="shared" ref="T44:T50" si="27">T$6*U11</f>
        <v>22.19001610305958</v>
      </c>
      <c r="U44" s="489">
        <f t="shared" ref="U44:U50" si="28">S44+T44</f>
        <v>146.66315855937728</v>
      </c>
      <c r="V44" s="844">
        <f t="shared" ref="V44:V50" si="29">V$6*U11</f>
        <v>-1.8859503886634461</v>
      </c>
      <c r="W44" s="231">
        <f t="shared" ref="W44:W50" si="30">U44+V44</f>
        <v>144.77720817071383</v>
      </c>
      <c r="X44" s="842">
        <f t="shared" ref="X44:X50" si="31">X$6*Y11</f>
        <v>22.647657841140532</v>
      </c>
      <c r="Y44" s="489">
        <f t="shared" ref="Y44:Y50" si="32">W44+X44</f>
        <v>167.42486601185436</v>
      </c>
      <c r="Z44" s="844">
        <f t="shared" ref="Z44:Z50" si="33">Z$6*Y11</f>
        <v>-3.1287889342826887</v>
      </c>
      <c r="AA44" s="231">
        <f t="shared" ref="AA44:AA50" si="34">Y44+Z44</f>
        <v>164.29607707757168</v>
      </c>
      <c r="AB44" s="842">
        <f t="shared" ref="AB44:AB50" si="35">AB$6*AC11</f>
        <v>22.88</v>
      </c>
      <c r="AC44" s="489">
        <f t="shared" ref="AC44:AC50" si="36">AA44+AB44</f>
        <v>187.17607707757168</v>
      </c>
      <c r="AD44" s="844">
        <f t="shared" ref="AD44:AD50" si="37">AD$6*AC11</f>
        <v>-3.5499046023962881</v>
      </c>
      <c r="AE44" s="231">
        <f t="shared" ref="AE44:AE50" si="38">AC44+AD44</f>
        <v>183.62617247517539</v>
      </c>
      <c r="AF44" s="842">
        <f t="shared" ref="AF44:AF50" si="39">AF$6*AG11</f>
        <v>23.214285714285712</v>
      </c>
      <c r="AG44" s="489">
        <f t="shared" ref="AG44:AG50" si="40">AE44+AF44</f>
        <v>206.84045818946112</v>
      </c>
      <c r="AH44" s="844">
        <f t="shared" ref="AH44:AH50" si="41">AH$6*AG11</f>
        <v>-3.4013112979483457</v>
      </c>
      <c r="AI44" s="231">
        <f t="shared" ref="AI44:AI50" si="42">AG44+AH44</f>
        <v>203.43914689151276</v>
      </c>
      <c r="AJ44" s="842">
        <f t="shared" ref="AJ44:AJ50" si="43">AJ$6*AK11</f>
        <v>20.238095238095241</v>
      </c>
      <c r="AK44" s="489">
        <f t="shared" ref="AK44:AK50" si="44">AI44+AJ44</f>
        <v>223.677242129608</v>
      </c>
      <c r="AL44" s="844">
        <f t="shared" ref="AL44:AL50" si="45">AL$6*AK11</f>
        <v>-3.2618640278878175</v>
      </c>
      <c r="AM44" s="231">
        <f t="shared" ref="AM44:AM50" si="46">AK44+AL44</f>
        <v>220.41537810172019</v>
      </c>
      <c r="AN44" s="842">
        <f t="shared" ref="AN44:AN50" si="47">AN$6*AO11</f>
        <v>20.689710610932476</v>
      </c>
      <c r="AO44" s="489">
        <f t="shared" ref="AO44:AO50" si="48">AM44+AN44</f>
        <v>241.10508871265267</v>
      </c>
      <c r="AP44" s="844">
        <f t="shared" ref="AP44:AP50" si="49">AP$6*AO11</f>
        <v>-3.7887802252151408</v>
      </c>
      <c r="AQ44" s="231">
        <f t="shared" ref="AQ44:AQ50" si="50">AO44+AP44</f>
        <v>237.31630848743754</v>
      </c>
      <c r="AR44" s="842">
        <f t="shared" ref="AR44:AR50" si="51">AR$6*AS11</f>
        <v>21.209003215434084</v>
      </c>
      <c r="AS44" s="489">
        <f t="shared" ref="AS44:AS50" si="52">AQ44+AR44</f>
        <v>258.52531170287165</v>
      </c>
      <c r="AT44" s="844">
        <f t="shared" ref="AT44:AT50" si="53">AT$6*AS11</f>
        <v>-4.1723042939679429</v>
      </c>
      <c r="AU44" s="231">
        <f t="shared" ref="AU44:AU50" si="54">AS44+AT44</f>
        <v>254.35300740890369</v>
      </c>
      <c r="AV44" s="842">
        <f t="shared" ref="AV44:AV50" si="55">AV$6*AW11</f>
        <v>21.459016393442624</v>
      </c>
      <c r="AW44" s="489">
        <f t="shared" ref="AW44:AW50" si="56">AU44+AV44</f>
        <v>275.81202380234629</v>
      </c>
      <c r="AX44" s="844">
        <f t="shared" ref="AX44:AX50" si="57">AX$6*AW11</f>
        <v>-4.7030008974518633</v>
      </c>
      <c r="AZ44" s="451">
        <f t="shared" ref="AZ44:BA50" si="58">D44+H44+L44+P44+T44+X44+AB44+AF44+AJ44+AN44+AR44+AV44</f>
        <v>304.09112610752913</v>
      </c>
      <c r="BA44" s="493">
        <f t="shared" si="58"/>
        <v>2027.9022871768821</v>
      </c>
    </row>
    <row r="45" spans="1:55" s="841" customFormat="1" ht="21" customHeight="1" x14ac:dyDescent="0.3">
      <c r="A45" s="837" t="s">
        <v>339</v>
      </c>
      <c r="C45" s="232">
        <v>0</v>
      </c>
      <c r="D45" s="842">
        <f t="shared" ref="D45:D50" si="59">D$6*E12</f>
        <v>0</v>
      </c>
      <c r="E45" s="843">
        <f t="shared" si="16"/>
        <v>0</v>
      </c>
      <c r="F45" s="844">
        <f t="shared" ref="F45:F50" si="60">F$6*E12</f>
        <v>0</v>
      </c>
      <c r="G45" s="231">
        <f t="shared" si="17"/>
        <v>0</v>
      </c>
      <c r="H45" s="842">
        <f t="shared" ref="H45:H50" si="61">H$6*I12</f>
        <v>0</v>
      </c>
      <c r="I45" s="489">
        <f t="shared" si="18"/>
        <v>0</v>
      </c>
      <c r="J45" s="844">
        <f t="shared" si="19"/>
        <v>0</v>
      </c>
      <c r="K45" s="231">
        <f t="shared" si="20"/>
        <v>0</v>
      </c>
      <c r="L45" s="842">
        <f t="shared" ref="L45:L50" si="62">L$6*M12</f>
        <v>187.77540106951872</v>
      </c>
      <c r="M45" s="489">
        <f t="shared" si="21"/>
        <v>187.77540106951872</v>
      </c>
      <c r="N45" s="844">
        <f t="shared" si="22"/>
        <v>-4.9509210695187162</v>
      </c>
      <c r="O45" s="231">
        <f t="shared" si="23"/>
        <v>182.82447999999999</v>
      </c>
      <c r="P45" s="842">
        <f t="shared" ref="P45:P50" si="63">P$6*Q12</f>
        <v>196.35559566787003</v>
      </c>
      <c r="Q45" s="489">
        <f t="shared" si="24"/>
        <v>379.18007566787003</v>
      </c>
      <c r="R45" s="844">
        <f t="shared" si="25"/>
        <v>-12.376319201444042</v>
      </c>
      <c r="S45" s="231">
        <f t="shared" si="26"/>
        <v>366.80375646642597</v>
      </c>
      <c r="T45" s="842">
        <f t="shared" si="27"/>
        <v>160.87761674718197</v>
      </c>
      <c r="U45" s="489">
        <f t="shared" si="28"/>
        <v>527.68137321360791</v>
      </c>
      <c r="V45" s="844">
        <f t="shared" si="29"/>
        <v>-13.673140317809986</v>
      </c>
      <c r="W45" s="231">
        <f t="shared" si="30"/>
        <v>514.00823289579796</v>
      </c>
      <c r="X45" s="842">
        <f t="shared" si="31"/>
        <v>137.01832993890019</v>
      </c>
      <c r="Y45" s="489">
        <f t="shared" si="32"/>
        <v>651.0265628346981</v>
      </c>
      <c r="Z45" s="844">
        <f t="shared" si="33"/>
        <v>-18.929173052410263</v>
      </c>
      <c r="AA45" s="231">
        <f t="shared" si="34"/>
        <v>632.09738978228779</v>
      </c>
      <c r="AB45" s="842">
        <f t="shared" si="35"/>
        <v>109.824</v>
      </c>
      <c r="AC45" s="489">
        <f t="shared" si="36"/>
        <v>741.92138978228775</v>
      </c>
      <c r="AD45" s="844">
        <f t="shared" si="37"/>
        <v>-17.039542091502184</v>
      </c>
      <c r="AE45" s="231">
        <f t="shared" si="38"/>
        <v>724.88184769078555</v>
      </c>
      <c r="AF45" s="842">
        <f t="shared" si="39"/>
        <v>111.42857142857143</v>
      </c>
      <c r="AG45" s="489">
        <f t="shared" si="40"/>
        <v>836.31041911935699</v>
      </c>
      <c r="AH45" s="844">
        <f t="shared" si="41"/>
        <v>-16.326294230152062</v>
      </c>
      <c r="AI45" s="231">
        <f t="shared" si="42"/>
        <v>819.98412488920496</v>
      </c>
      <c r="AJ45" s="842">
        <f t="shared" si="43"/>
        <v>144.04761904761907</v>
      </c>
      <c r="AK45" s="489">
        <f t="shared" si="44"/>
        <v>964.031743936824</v>
      </c>
      <c r="AL45" s="844">
        <f t="shared" si="45"/>
        <v>-23.216796904377997</v>
      </c>
      <c r="AM45" s="231">
        <f t="shared" si="46"/>
        <v>940.81494703244596</v>
      </c>
      <c r="AN45" s="842">
        <f t="shared" si="47"/>
        <v>220.28456591639869</v>
      </c>
      <c r="AO45" s="489">
        <f t="shared" si="48"/>
        <v>1161.0995129488447</v>
      </c>
      <c r="AP45" s="844">
        <f t="shared" si="49"/>
        <v>-40.339365927290615</v>
      </c>
      <c r="AQ45" s="231">
        <f t="shared" si="50"/>
        <v>1120.7601470215541</v>
      </c>
      <c r="AR45" s="842">
        <f t="shared" si="51"/>
        <v>225.81350482315111</v>
      </c>
      <c r="AS45" s="489">
        <f t="shared" si="52"/>
        <v>1346.5736518447052</v>
      </c>
      <c r="AT45" s="844">
        <f t="shared" si="53"/>
        <v>-44.422769247541034</v>
      </c>
      <c r="AU45" s="231">
        <f t="shared" si="54"/>
        <v>1302.1508825971641</v>
      </c>
      <c r="AV45" s="842">
        <f t="shared" si="55"/>
        <v>228.47540983606555</v>
      </c>
      <c r="AW45" s="489">
        <f t="shared" si="56"/>
        <v>1530.6262924332298</v>
      </c>
      <c r="AX45" s="844">
        <f t="shared" si="57"/>
        <v>-50.073127202281597</v>
      </c>
      <c r="AZ45" s="451">
        <f t="shared" si="58"/>
        <v>1721.9006144752766</v>
      </c>
      <c r="BA45" s="493">
        <f t="shared" si="58"/>
        <v>8326.226422850943</v>
      </c>
    </row>
    <row r="46" spans="1:55" s="841" customFormat="1" ht="19.8" customHeight="1" x14ac:dyDescent="0.3">
      <c r="A46" s="837" t="s">
        <v>340</v>
      </c>
      <c r="C46" s="232">
        <v>0</v>
      </c>
      <c r="D46" s="842">
        <f t="shared" si="59"/>
        <v>0</v>
      </c>
      <c r="E46" s="843">
        <f t="shared" si="16"/>
        <v>0</v>
      </c>
      <c r="F46" s="844">
        <f t="shared" si="60"/>
        <v>0</v>
      </c>
      <c r="G46" s="231">
        <f t="shared" si="17"/>
        <v>0</v>
      </c>
      <c r="H46" s="842">
        <f t="shared" si="61"/>
        <v>0</v>
      </c>
      <c r="I46" s="489">
        <f t="shared" si="18"/>
        <v>0</v>
      </c>
      <c r="J46" s="844">
        <f t="shared" si="19"/>
        <v>0</v>
      </c>
      <c r="K46" s="231">
        <f t="shared" si="20"/>
        <v>0</v>
      </c>
      <c r="L46" s="842">
        <f t="shared" si="62"/>
        <v>0</v>
      </c>
      <c r="M46" s="489">
        <f t="shared" si="21"/>
        <v>0</v>
      </c>
      <c r="N46" s="844">
        <f t="shared" si="22"/>
        <v>0</v>
      </c>
      <c r="O46" s="231">
        <f t="shared" si="23"/>
        <v>0</v>
      </c>
      <c r="P46" s="842">
        <f t="shared" si="63"/>
        <v>0</v>
      </c>
      <c r="Q46" s="489">
        <f t="shared" si="24"/>
        <v>0</v>
      </c>
      <c r="R46" s="844">
        <f t="shared" si="25"/>
        <v>0</v>
      </c>
      <c r="S46" s="231">
        <f t="shared" si="26"/>
        <v>0</v>
      </c>
      <c r="T46" s="842">
        <f t="shared" si="27"/>
        <v>0</v>
      </c>
      <c r="U46" s="489">
        <f t="shared" si="28"/>
        <v>0</v>
      </c>
      <c r="V46" s="844">
        <f t="shared" si="29"/>
        <v>0</v>
      </c>
      <c r="W46" s="231">
        <f t="shared" si="30"/>
        <v>0</v>
      </c>
      <c r="X46" s="842">
        <f t="shared" si="31"/>
        <v>0</v>
      </c>
      <c r="Y46" s="489">
        <f t="shared" si="32"/>
        <v>0</v>
      </c>
      <c r="Z46" s="844">
        <f t="shared" si="33"/>
        <v>0</v>
      </c>
      <c r="AA46" s="231">
        <f t="shared" si="34"/>
        <v>0</v>
      </c>
      <c r="AB46" s="842">
        <f t="shared" si="35"/>
        <v>19.448</v>
      </c>
      <c r="AC46" s="489">
        <f t="shared" si="36"/>
        <v>19.448</v>
      </c>
      <c r="AD46" s="844">
        <f t="shared" si="37"/>
        <v>-3.0174189120368453</v>
      </c>
      <c r="AE46" s="231">
        <f t="shared" si="38"/>
        <v>16.430581087963155</v>
      </c>
      <c r="AF46" s="842">
        <f t="shared" si="39"/>
        <v>19.732142857142858</v>
      </c>
      <c r="AG46" s="489">
        <f t="shared" si="40"/>
        <v>36.162723945106009</v>
      </c>
      <c r="AH46" s="844">
        <f t="shared" si="41"/>
        <v>-2.8911146032560939</v>
      </c>
      <c r="AI46" s="231">
        <f t="shared" si="42"/>
        <v>33.271609341849917</v>
      </c>
      <c r="AJ46" s="842">
        <f t="shared" si="43"/>
        <v>15.476190476190476</v>
      </c>
      <c r="AK46" s="489">
        <f t="shared" si="44"/>
        <v>48.747799818040392</v>
      </c>
      <c r="AL46" s="844">
        <f t="shared" si="45"/>
        <v>-2.494366609561272</v>
      </c>
      <c r="AM46" s="231">
        <f t="shared" si="46"/>
        <v>46.253433208479123</v>
      </c>
      <c r="AN46" s="842">
        <f t="shared" si="47"/>
        <v>3.6511254019292609</v>
      </c>
      <c r="AO46" s="489">
        <f t="shared" si="48"/>
        <v>49.904558610408387</v>
      </c>
      <c r="AP46" s="844">
        <f t="shared" si="49"/>
        <v>-0.66860827503796605</v>
      </c>
      <c r="AQ46" s="231">
        <f t="shared" si="50"/>
        <v>49.235950335370418</v>
      </c>
      <c r="AR46" s="842">
        <f t="shared" si="51"/>
        <v>3.7427652733118975</v>
      </c>
      <c r="AS46" s="489">
        <f t="shared" si="52"/>
        <v>52.978715608682315</v>
      </c>
      <c r="AT46" s="844">
        <f t="shared" si="53"/>
        <v>-0.73628899305316642</v>
      </c>
      <c r="AU46" s="231">
        <f t="shared" si="54"/>
        <v>52.242426615629149</v>
      </c>
      <c r="AV46" s="842">
        <f t="shared" si="55"/>
        <v>3.7868852459016398</v>
      </c>
      <c r="AW46" s="489">
        <f t="shared" si="56"/>
        <v>56.029311861530786</v>
      </c>
      <c r="AX46" s="844">
        <f t="shared" si="57"/>
        <v>-0.82994133484444654</v>
      </c>
      <c r="AZ46" s="451">
        <f t="shared" si="58"/>
        <v>65.837109254476132</v>
      </c>
      <c r="BA46" s="493">
        <f t="shared" si="58"/>
        <v>263.27110984376787</v>
      </c>
    </row>
    <row r="47" spans="1:55" s="841" customFormat="1" ht="19.8" customHeight="1" x14ac:dyDescent="0.3">
      <c r="A47" s="837" t="s">
        <v>341</v>
      </c>
      <c r="C47" s="232">
        <v>0</v>
      </c>
      <c r="D47" s="842">
        <f t="shared" si="59"/>
        <v>0</v>
      </c>
      <c r="E47" s="843">
        <f t="shared" si="16"/>
        <v>0</v>
      </c>
      <c r="F47" s="844">
        <f t="shared" si="60"/>
        <v>0</v>
      </c>
      <c r="G47" s="231">
        <f t="shared" si="17"/>
        <v>0</v>
      </c>
      <c r="H47" s="842">
        <f t="shared" si="61"/>
        <v>0</v>
      </c>
      <c r="I47" s="489">
        <f t="shared" si="18"/>
        <v>0</v>
      </c>
      <c r="J47" s="844">
        <f t="shared" si="19"/>
        <v>0</v>
      </c>
      <c r="K47" s="231">
        <f t="shared" si="20"/>
        <v>0</v>
      </c>
      <c r="L47" s="842">
        <f t="shared" si="62"/>
        <v>0</v>
      </c>
      <c r="M47" s="489">
        <f t="shared" si="21"/>
        <v>0</v>
      </c>
      <c r="N47" s="844">
        <f t="shared" si="22"/>
        <v>0</v>
      </c>
      <c r="O47" s="231">
        <f t="shared" si="23"/>
        <v>0</v>
      </c>
      <c r="P47" s="842">
        <f t="shared" si="63"/>
        <v>0</v>
      </c>
      <c r="Q47" s="489">
        <f t="shared" si="24"/>
        <v>0</v>
      </c>
      <c r="R47" s="844">
        <f t="shared" si="25"/>
        <v>0</v>
      </c>
      <c r="S47" s="231">
        <f t="shared" si="26"/>
        <v>0</v>
      </c>
      <c r="T47" s="842">
        <f t="shared" si="27"/>
        <v>0</v>
      </c>
      <c r="U47" s="489">
        <f t="shared" si="28"/>
        <v>0</v>
      </c>
      <c r="V47" s="844">
        <f t="shared" si="29"/>
        <v>0</v>
      </c>
      <c r="W47" s="231">
        <f t="shared" si="30"/>
        <v>0</v>
      </c>
      <c r="X47" s="842">
        <f t="shared" si="31"/>
        <v>0</v>
      </c>
      <c r="Y47" s="489">
        <f t="shared" si="32"/>
        <v>0</v>
      </c>
      <c r="Z47" s="844">
        <f t="shared" si="33"/>
        <v>0</v>
      </c>
      <c r="AA47" s="231">
        <f t="shared" si="34"/>
        <v>0</v>
      </c>
      <c r="AB47" s="842">
        <f t="shared" si="35"/>
        <v>19.448</v>
      </c>
      <c r="AC47" s="489">
        <f t="shared" si="36"/>
        <v>19.448</v>
      </c>
      <c r="AD47" s="844">
        <f t="shared" si="37"/>
        <v>-3.0174189120368453</v>
      </c>
      <c r="AE47" s="231">
        <f t="shared" si="38"/>
        <v>16.430581087963155</v>
      </c>
      <c r="AF47" s="842">
        <f t="shared" si="39"/>
        <v>19.732142857142858</v>
      </c>
      <c r="AG47" s="489">
        <f t="shared" si="40"/>
        <v>36.162723945106009</v>
      </c>
      <c r="AH47" s="844">
        <f t="shared" si="41"/>
        <v>-2.8911146032560939</v>
      </c>
      <c r="AI47" s="231">
        <f t="shared" si="42"/>
        <v>33.271609341849917</v>
      </c>
      <c r="AJ47" s="842">
        <f t="shared" si="43"/>
        <v>15.476190476190476</v>
      </c>
      <c r="AK47" s="489">
        <f t="shared" si="44"/>
        <v>48.747799818040392</v>
      </c>
      <c r="AL47" s="844">
        <f t="shared" si="45"/>
        <v>-2.494366609561272</v>
      </c>
      <c r="AM47" s="231">
        <f t="shared" si="46"/>
        <v>46.253433208479123</v>
      </c>
      <c r="AN47" s="842">
        <f t="shared" si="47"/>
        <v>3.6511254019292609</v>
      </c>
      <c r="AO47" s="489">
        <f t="shared" si="48"/>
        <v>49.904558610408387</v>
      </c>
      <c r="AP47" s="844">
        <f t="shared" si="49"/>
        <v>-0.66860827503796605</v>
      </c>
      <c r="AQ47" s="231">
        <f t="shared" si="50"/>
        <v>49.235950335370418</v>
      </c>
      <c r="AR47" s="842">
        <f t="shared" si="51"/>
        <v>3.7427652733118975</v>
      </c>
      <c r="AS47" s="489">
        <f t="shared" si="52"/>
        <v>52.978715608682315</v>
      </c>
      <c r="AT47" s="844">
        <f t="shared" si="53"/>
        <v>-0.73628899305316642</v>
      </c>
      <c r="AU47" s="231">
        <f t="shared" si="54"/>
        <v>52.242426615629149</v>
      </c>
      <c r="AV47" s="842">
        <f t="shared" si="55"/>
        <v>3.7868852459016398</v>
      </c>
      <c r="AW47" s="489">
        <f t="shared" si="56"/>
        <v>56.029311861530786</v>
      </c>
      <c r="AX47" s="844">
        <f t="shared" si="57"/>
        <v>-0.82994133484444654</v>
      </c>
      <c r="AZ47" s="451">
        <f t="shared" si="58"/>
        <v>65.837109254476132</v>
      </c>
      <c r="BA47" s="493">
        <f t="shared" si="58"/>
        <v>263.27110984376787</v>
      </c>
    </row>
    <row r="48" spans="1:55" s="841" customFormat="1" ht="19.8" customHeight="1" x14ac:dyDescent="0.3">
      <c r="A48" s="837" t="s">
        <v>329</v>
      </c>
      <c r="C48" s="232">
        <v>0</v>
      </c>
      <c r="D48" s="842">
        <f t="shared" si="59"/>
        <v>0</v>
      </c>
      <c r="E48" s="843">
        <f t="shared" si="16"/>
        <v>0</v>
      </c>
      <c r="F48" s="844">
        <f t="shared" si="60"/>
        <v>0</v>
      </c>
      <c r="G48" s="231">
        <f t="shared" si="17"/>
        <v>0</v>
      </c>
      <c r="H48" s="842">
        <f t="shared" si="61"/>
        <v>0</v>
      </c>
      <c r="I48" s="489">
        <f t="shared" si="18"/>
        <v>0</v>
      </c>
      <c r="J48" s="844">
        <f t="shared" si="19"/>
        <v>0</v>
      </c>
      <c r="K48" s="231">
        <f t="shared" si="20"/>
        <v>0</v>
      </c>
      <c r="L48" s="842">
        <f t="shared" si="62"/>
        <v>358.951871657754</v>
      </c>
      <c r="M48" s="489">
        <f t="shared" si="21"/>
        <v>358.951871657754</v>
      </c>
      <c r="N48" s="844">
        <f t="shared" si="22"/>
        <v>-9.4641916577540091</v>
      </c>
      <c r="O48" s="231">
        <f t="shared" si="23"/>
        <v>349.48768000000001</v>
      </c>
      <c r="P48" s="842">
        <f t="shared" si="63"/>
        <v>375.35379061371839</v>
      </c>
      <c r="Q48" s="489">
        <f t="shared" si="24"/>
        <v>724.84147061371846</v>
      </c>
      <c r="R48" s="844">
        <f t="shared" si="25"/>
        <v>-23.658599136462094</v>
      </c>
      <c r="S48" s="231">
        <f t="shared" si="26"/>
        <v>701.18287147725641</v>
      </c>
      <c r="T48" s="842">
        <f t="shared" si="27"/>
        <v>306.22222222222223</v>
      </c>
      <c r="U48" s="489">
        <f t="shared" si="28"/>
        <v>1007.4050936994786</v>
      </c>
      <c r="V48" s="844">
        <f t="shared" si="29"/>
        <v>-26.026115363555558</v>
      </c>
      <c r="W48" s="231">
        <f t="shared" si="30"/>
        <v>981.37897833592308</v>
      </c>
      <c r="X48" s="842">
        <f t="shared" si="31"/>
        <v>260.44806517311611</v>
      </c>
      <c r="Y48" s="489">
        <f t="shared" si="32"/>
        <v>1241.8270435090392</v>
      </c>
      <c r="Z48" s="844">
        <f t="shared" si="33"/>
        <v>-35.981072744250916</v>
      </c>
      <c r="AA48" s="231">
        <f t="shared" si="34"/>
        <v>1205.8459707647883</v>
      </c>
      <c r="AB48" s="842">
        <f t="shared" si="35"/>
        <v>263.12</v>
      </c>
      <c r="AC48" s="489">
        <f t="shared" si="36"/>
        <v>1468.9659707647884</v>
      </c>
      <c r="AD48" s="844">
        <f t="shared" si="37"/>
        <v>-40.823902927557313</v>
      </c>
      <c r="AE48" s="231">
        <f t="shared" si="38"/>
        <v>1428.142067837231</v>
      </c>
      <c r="AF48" s="842">
        <f t="shared" si="39"/>
        <v>401.60714285714283</v>
      </c>
      <c r="AG48" s="489">
        <f t="shared" si="40"/>
        <v>1829.7492106943739</v>
      </c>
      <c r="AH48" s="844">
        <f t="shared" si="41"/>
        <v>-58.842685454506388</v>
      </c>
      <c r="AI48" s="231">
        <f t="shared" si="42"/>
        <v>1770.9065252398675</v>
      </c>
      <c r="AJ48" s="842">
        <f t="shared" si="43"/>
        <v>411.90476190476193</v>
      </c>
      <c r="AK48" s="489">
        <f t="shared" si="44"/>
        <v>2182.8112871446292</v>
      </c>
      <c r="AL48" s="844">
        <f t="shared" si="45"/>
        <v>-66.388526685246177</v>
      </c>
      <c r="AM48" s="231">
        <f t="shared" si="46"/>
        <v>2116.422760459383</v>
      </c>
      <c r="AN48" s="842">
        <f t="shared" si="47"/>
        <v>421.09646302250803</v>
      </c>
      <c r="AO48" s="489">
        <f t="shared" si="48"/>
        <v>2537.519223481891</v>
      </c>
      <c r="AP48" s="844">
        <f t="shared" si="49"/>
        <v>-77.112821054378742</v>
      </c>
      <c r="AQ48" s="231">
        <f t="shared" si="50"/>
        <v>2460.4064024275121</v>
      </c>
      <c r="AR48" s="842">
        <f t="shared" si="51"/>
        <v>431.66559485530547</v>
      </c>
      <c r="AS48" s="489">
        <f t="shared" si="52"/>
        <v>2892.0719972828174</v>
      </c>
      <c r="AT48" s="844">
        <f t="shared" si="53"/>
        <v>-84.918663865465192</v>
      </c>
      <c r="AU48" s="231">
        <f t="shared" si="54"/>
        <v>2807.1533334173523</v>
      </c>
      <c r="AV48" s="842">
        <f t="shared" si="55"/>
        <v>436.7540983606558</v>
      </c>
      <c r="AW48" s="489">
        <f t="shared" si="56"/>
        <v>3243.9074317780082</v>
      </c>
      <c r="AX48" s="844">
        <f t="shared" si="57"/>
        <v>-95.719900618726172</v>
      </c>
      <c r="AZ48" s="451">
        <f t="shared" si="58"/>
        <v>3667.1240106671848</v>
      </c>
      <c r="BA48" s="493">
        <f t="shared" si="58"/>
        <v>17488.050600626499</v>
      </c>
    </row>
    <row r="49" spans="1:53" s="841" customFormat="1" ht="19.8" customHeight="1" x14ac:dyDescent="0.3">
      <c r="A49" s="837" t="s">
        <v>342</v>
      </c>
      <c r="C49" s="232">
        <v>0</v>
      </c>
      <c r="D49" s="842">
        <f t="shared" si="59"/>
        <v>0</v>
      </c>
      <c r="E49" s="843">
        <f t="shared" si="16"/>
        <v>0</v>
      </c>
      <c r="F49" s="844">
        <f t="shared" si="60"/>
        <v>0</v>
      </c>
      <c r="G49" s="231">
        <f t="shared" si="17"/>
        <v>0</v>
      </c>
      <c r="H49" s="842">
        <f t="shared" si="61"/>
        <v>0</v>
      </c>
      <c r="I49" s="489">
        <f t="shared" si="18"/>
        <v>0</v>
      </c>
      <c r="J49" s="844">
        <f t="shared" si="19"/>
        <v>0</v>
      </c>
      <c r="K49" s="231">
        <f t="shared" si="20"/>
        <v>0</v>
      </c>
      <c r="L49" s="842">
        <f t="shared" si="62"/>
        <v>0</v>
      </c>
      <c r="M49" s="489">
        <f t="shared" si="21"/>
        <v>0</v>
      </c>
      <c r="N49" s="844">
        <f t="shared" si="22"/>
        <v>0</v>
      </c>
      <c r="O49" s="231">
        <f t="shared" si="23"/>
        <v>0</v>
      </c>
      <c r="P49" s="842">
        <f t="shared" si="63"/>
        <v>0</v>
      </c>
      <c r="Q49" s="489">
        <f t="shared" si="24"/>
        <v>0</v>
      </c>
      <c r="R49" s="844">
        <f t="shared" si="25"/>
        <v>0</v>
      </c>
      <c r="S49" s="231">
        <f t="shared" si="26"/>
        <v>0</v>
      </c>
      <c r="T49" s="842">
        <f t="shared" si="27"/>
        <v>99.855072463768124</v>
      </c>
      <c r="U49" s="489">
        <f t="shared" si="28"/>
        <v>99.855072463768124</v>
      </c>
      <c r="V49" s="844">
        <f t="shared" si="29"/>
        <v>-8.486776748985509</v>
      </c>
      <c r="W49" s="231">
        <f t="shared" si="30"/>
        <v>91.368295714782619</v>
      </c>
      <c r="X49" s="842">
        <f t="shared" si="31"/>
        <v>67.942973523421585</v>
      </c>
      <c r="Y49" s="489">
        <f t="shared" si="32"/>
        <v>159.3112692382042</v>
      </c>
      <c r="Z49" s="844">
        <f t="shared" si="33"/>
        <v>-9.3863668028480642</v>
      </c>
      <c r="AA49" s="231">
        <f t="shared" si="34"/>
        <v>149.92490243535613</v>
      </c>
      <c r="AB49" s="842">
        <f t="shared" si="35"/>
        <v>68.64</v>
      </c>
      <c r="AC49" s="489">
        <f t="shared" si="36"/>
        <v>218.56490243535615</v>
      </c>
      <c r="AD49" s="844">
        <f t="shared" si="37"/>
        <v>-10.649713807188864</v>
      </c>
      <c r="AE49" s="231">
        <f t="shared" si="38"/>
        <v>207.91518862816727</v>
      </c>
      <c r="AF49" s="842">
        <f t="shared" si="39"/>
        <v>69.642857142857153</v>
      </c>
      <c r="AG49" s="489">
        <f t="shared" si="40"/>
        <v>277.55804577102441</v>
      </c>
      <c r="AH49" s="844">
        <f t="shared" si="41"/>
        <v>-10.203933893845038</v>
      </c>
      <c r="AI49" s="231">
        <f t="shared" si="42"/>
        <v>267.35411187717938</v>
      </c>
      <c r="AJ49" s="842">
        <f t="shared" si="43"/>
        <v>71.428571428571431</v>
      </c>
      <c r="AK49" s="489">
        <f t="shared" si="44"/>
        <v>338.78268330575082</v>
      </c>
      <c r="AL49" s="844">
        <f t="shared" si="45"/>
        <v>-11.512461274898179</v>
      </c>
      <c r="AM49" s="231">
        <f t="shared" si="46"/>
        <v>327.27022203085266</v>
      </c>
      <c r="AN49" s="842">
        <f t="shared" si="47"/>
        <v>43.813504823151121</v>
      </c>
      <c r="AO49" s="489">
        <f t="shared" si="48"/>
        <v>371.08372685400377</v>
      </c>
      <c r="AP49" s="844">
        <f t="shared" si="49"/>
        <v>-8.0232993004555926</v>
      </c>
      <c r="AQ49" s="231">
        <f t="shared" si="50"/>
        <v>363.06042755354815</v>
      </c>
      <c r="AR49" s="842">
        <f t="shared" si="51"/>
        <v>44.913183279742761</v>
      </c>
      <c r="AS49" s="489">
        <f t="shared" si="52"/>
        <v>407.97361083329093</v>
      </c>
      <c r="AT49" s="844">
        <f t="shared" si="53"/>
        <v>-8.8354679166379952</v>
      </c>
      <c r="AU49" s="231">
        <f t="shared" si="54"/>
        <v>399.13814291665295</v>
      </c>
      <c r="AV49" s="842">
        <f t="shared" si="55"/>
        <v>37.868852459016395</v>
      </c>
      <c r="AW49" s="489">
        <f t="shared" si="56"/>
        <v>437.00699537566936</v>
      </c>
      <c r="AX49" s="844">
        <f t="shared" si="57"/>
        <v>-8.2994133484444639</v>
      </c>
      <c r="AZ49" s="451">
        <f t="shared" si="58"/>
        <v>504.10501512052861</v>
      </c>
      <c r="BA49" s="493">
        <f t="shared" si="58"/>
        <v>2310.1363062770679</v>
      </c>
    </row>
    <row r="50" spans="1:53" s="841" customFormat="1" ht="19.8" customHeight="1" x14ac:dyDescent="0.3">
      <c r="A50" s="839" t="s">
        <v>343</v>
      </c>
      <c r="C50" s="845">
        <v>0</v>
      </c>
      <c r="D50" s="842">
        <f t="shared" si="59"/>
        <v>0</v>
      </c>
      <c r="E50" s="846">
        <f t="shared" si="16"/>
        <v>0</v>
      </c>
      <c r="F50" s="844">
        <f t="shared" si="60"/>
        <v>0</v>
      </c>
      <c r="G50" s="233">
        <f t="shared" si="17"/>
        <v>0</v>
      </c>
      <c r="H50" s="842">
        <f t="shared" si="61"/>
        <v>0</v>
      </c>
      <c r="I50" s="490">
        <f t="shared" si="18"/>
        <v>0</v>
      </c>
      <c r="J50" s="844">
        <f t="shared" si="19"/>
        <v>0</v>
      </c>
      <c r="K50" s="233">
        <f t="shared" si="20"/>
        <v>0</v>
      </c>
      <c r="L50" s="842">
        <f t="shared" si="62"/>
        <v>0</v>
      </c>
      <c r="M50" s="490">
        <f t="shared" si="21"/>
        <v>0</v>
      </c>
      <c r="N50" s="844">
        <f t="shared" si="22"/>
        <v>0</v>
      </c>
      <c r="O50" s="233">
        <f t="shared" si="23"/>
        <v>0</v>
      </c>
      <c r="P50" s="842">
        <f t="shared" si="63"/>
        <v>0</v>
      </c>
      <c r="Q50" s="490">
        <f t="shared" si="24"/>
        <v>0</v>
      </c>
      <c r="R50" s="844">
        <f t="shared" si="25"/>
        <v>0</v>
      </c>
      <c r="S50" s="233">
        <f t="shared" si="26"/>
        <v>0</v>
      </c>
      <c r="T50" s="842">
        <f t="shared" si="27"/>
        <v>99.855072463768124</v>
      </c>
      <c r="U50" s="490">
        <f t="shared" si="28"/>
        <v>99.855072463768124</v>
      </c>
      <c r="V50" s="844">
        <f t="shared" si="29"/>
        <v>-8.486776748985509</v>
      </c>
      <c r="W50" s="233">
        <f t="shared" si="30"/>
        <v>91.368295714782619</v>
      </c>
      <c r="X50" s="842">
        <f t="shared" si="31"/>
        <v>67.942973523421585</v>
      </c>
      <c r="Y50" s="490">
        <f t="shared" si="32"/>
        <v>159.3112692382042</v>
      </c>
      <c r="Z50" s="844">
        <f t="shared" si="33"/>
        <v>-9.3863668028480642</v>
      </c>
      <c r="AA50" s="233">
        <f t="shared" si="34"/>
        <v>149.92490243535613</v>
      </c>
      <c r="AB50" s="842">
        <f t="shared" si="35"/>
        <v>68.64</v>
      </c>
      <c r="AC50" s="490">
        <f t="shared" si="36"/>
        <v>218.56490243535615</v>
      </c>
      <c r="AD50" s="844">
        <f t="shared" si="37"/>
        <v>-10.649713807188864</v>
      </c>
      <c r="AE50" s="233">
        <f t="shared" si="38"/>
        <v>207.91518862816727</v>
      </c>
      <c r="AF50" s="842">
        <f t="shared" si="39"/>
        <v>69.642857142857153</v>
      </c>
      <c r="AG50" s="490">
        <f t="shared" si="40"/>
        <v>277.55804577102441</v>
      </c>
      <c r="AH50" s="844">
        <f t="shared" si="41"/>
        <v>-10.203933893845038</v>
      </c>
      <c r="AI50" s="233">
        <f t="shared" si="42"/>
        <v>267.35411187717938</v>
      </c>
      <c r="AJ50" s="842">
        <f t="shared" si="43"/>
        <v>71.428571428571431</v>
      </c>
      <c r="AK50" s="490">
        <f t="shared" si="44"/>
        <v>338.78268330575082</v>
      </c>
      <c r="AL50" s="844">
        <f t="shared" si="45"/>
        <v>-11.512461274898179</v>
      </c>
      <c r="AM50" s="233">
        <f t="shared" si="46"/>
        <v>327.27022203085266</v>
      </c>
      <c r="AN50" s="842">
        <f t="shared" si="47"/>
        <v>43.813504823151121</v>
      </c>
      <c r="AO50" s="490">
        <f t="shared" si="48"/>
        <v>371.08372685400377</v>
      </c>
      <c r="AP50" s="844">
        <f t="shared" si="49"/>
        <v>-8.0232993004555926</v>
      </c>
      <c r="AQ50" s="233">
        <f t="shared" si="50"/>
        <v>363.06042755354815</v>
      </c>
      <c r="AR50" s="842">
        <f t="shared" si="51"/>
        <v>44.913183279742761</v>
      </c>
      <c r="AS50" s="490">
        <f t="shared" si="52"/>
        <v>407.97361083329093</v>
      </c>
      <c r="AT50" s="844">
        <f t="shared" si="53"/>
        <v>-8.8354679166379952</v>
      </c>
      <c r="AU50" s="233">
        <f t="shared" si="54"/>
        <v>399.13814291665295</v>
      </c>
      <c r="AV50" s="842">
        <f t="shared" si="55"/>
        <v>37.868852459016395</v>
      </c>
      <c r="AW50" s="490">
        <f t="shared" si="56"/>
        <v>437.00699537566936</v>
      </c>
      <c r="AX50" s="844">
        <f t="shared" si="57"/>
        <v>-8.2994133484444639</v>
      </c>
      <c r="AZ50" s="452">
        <f t="shared" si="58"/>
        <v>504.10501512052861</v>
      </c>
      <c r="BA50" s="494">
        <f t="shared" si="58"/>
        <v>2310.1363062770679</v>
      </c>
    </row>
    <row r="51" spans="1:53" s="847" customFormat="1" ht="24" customHeight="1" x14ac:dyDescent="0.3">
      <c r="A51" s="835" t="s">
        <v>330</v>
      </c>
      <c r="C51" s="424">
        <v>0</v>
      </c>
      <c r="D51" s="802">
        <f t="shared" ref="D51:AX51" si="64">SUM(D44:D50)</f>
        <v>32</v>
      </c>
      <c r="E51" s="848">
        <f t="shared" si="64"/>
        <v>32</v>
      </c>
      <c r="F51" s="849">
        <f t="shared" si="64"/>
        <v>-0.6</v>
      </c>
      <c r="G51" s="424">
        <f t="shared" si="64"/>
        <v>31.4</v>
      </c>
      <c r="H51" s="802">
        <f t="shared" si="64"/>
        <v>33</v>
      </c>
      <c r="I51" s="852">
        <f t="shared" si="64"/>
        <v>64.400000000000006</v>
      </c>
      <c r="J51" s="849">
        <f t="shared" si="64"/>
        <v>-1.714</v>
      </c>
      <c r="K51" s="424">
        <f t="shared" si="64"/>
        <v>62.686000000000007</v>
      </c>
      <c r="L51" s="802">
        <f t="shared" si="64"/>
        <v>582</v>
      </c>
      <c r="M51" s="852">
        <f t="shared" si="64"/>
        <v>644.68599999999992</v>
      </c>
      <c r="N51" s="849">
        <f t="shared" si="64"/>
        <v>-15.345119999999998</v>
      </c>
      <c r="O51" s="424">
        <f t="shared" si="64"/>
        <v>629.34087999999997</v>
      </c>
      <c r="P51" s="802">
        <f t="shared" si="64"/>
        <v>601</v>
      </c>
      <c r="Q51" s="852">
        <f t="shared" si="64"/>
        <v>1230.3408800000002</v>
      </c>
      <c r="R51" s="849">
        <f t="shared" si="64"/>
        <v>-37.881109600000002</v>
      </c>
      <c r="S51" s="424">
        <f t="shared" si="64"/>
        <v>1192.4597704</v>
      </c>
      <c r="T51" s="802">
        <f t="shared" si="64"/>
        <v>689</v>
      </c>
      <c r="U51" s="852">
        <f t="shared" si="64"/>
        <v>1881.4597703999998</v>
      </c>
      <c r="V51" s="849">
        <f t="shared" si="64"/>
        <v>-58.558759567999999</v>
      </c>
      <c r="W51" s="424">
        <f t="shared" si="64"/>
        <v>1822.9010108319999</v>
      </c>
      <c r="X51" s="802">
        <f t="shared" si="64"/>
        <v>556</v>
      </c>
      <c r="Y51" s="852">
        <f t="shared" si="64"/>
        <v>2378.9010108319999</v>
      </c>
      <c r="Z51" s="849">
        <f t="shared" si="64"/>
        <v>-76.811768336639986</v>
      </c>
      <c r="AA51" s="424">
        <f t="shared" si="64"/>
        <v>2302.0892424953599</v>
      </c>
      <c r="AB51" s="802">
        <f t="shared" si="64"/>
        <v>572</v>
      </c>
      <c r="AC51" s="852">
        <f t="shared" si="64"/>
        <v>2874.0892424953599</v>
      </c>
      <c r="AD51" s="849">
        <f t="shared" si="64"/>
        <v>-88.74761505990719</v>
      </c>
      <c r="AE51" s="424">
        <f t="shared" si="64"/>
        <v>2785.3416274354531</v>
      </c>
      <c r="AF51" s="802">
        <f t="shared" si="64"/>
        <v>714.99999999999989</v>
      </c>
      <c r="AG51" s="852">
        <f t="shared" si="64"/>
        <v>3500.3416274354531</v>
      </c>
      <c r="AH51" s="849">
        <f t="shared" si="64"/>
        <v>-104.76038797680906</v>
      </c>
      <c r="AI51" s="424">
        <f t="shared" si="64"/>
        <v>3395.5812394586442</v>
      </c>
      <c r="AJ51" s="802">
        <f t="shared" si="64"/>
        <v>750.00000000000011</v>
      </c>
      <c r="AK51" s="852">
        <f t="shared" si="64"/>
        <v>4145.5812394586437</v>
      </c>
      <c r="AL51" s="849">
        <f t="shared" si="64"/>
        <v>-120.88084338643091</v>
      </c>
      <c r="AM51" s="424">
        <f t="shared" si="64"/>
        <v>4024.7003960722132</v>
      </c>
      <c r="AN51" s="802">
        <f t="shared" si="64"/>
        <v>756.99999999999989</v>
      </c>
      <c r="AO51" s="852">
        <f t="shared" si="64"/>
        <v>4781.7003960722122</v>
      </c>
      <c r="AP51" s="849">
        <f t="shared" si="64"/>
        <v>-138.62478235787162</v>
      </c>
      <c r="AQ51" s="424">
        <f t="shared" si="64"/>
        <v>4643.0756137143408</v>
      </c>
      <c r="AR51" s="802">
        <f t="shared" si="64"/>
        <v>775.99999999999989</v>
      </c>
      <c r="AS51" s="852">
        <f t="shared" si="64"/>
        <v>5419.0756137143408</v>
      </c>
      <c r="AT51" s="849">
        <f t="shared" si="64"/>
        <v>-152.65725122635649</v>
      </c>
      <c r="AU51" s="424">
        <f t="shared" si="64"/>
        <v>5266.4183624879852</v>
      </c>
      <c r="AV51" s="802">
        <f t="shared" si="64"/>
        <v>770</v>
      </c>
      <c r="AW51" s="852">
        <f t="shared" si="64"/>
        <v>6036.4183624879843</v>
      </c>
      <c r="AX51" s="849">
        <f t="shared" si="64"/>
        <v>-168.75473808503745</v>
      </c>
      <c r="AZ51" s="486">
        <f>SUM(AZ44:AZ50)</f>
        <v>6833</v>
      </c>
      <c r="BA51" s="495">
        <f>SUM(BA44:BA50)</f>
        <v>32988.994142895994</v>
      </c>
    </row>
    <row r="52" spans="1:53" s="837" customFormat="1" ht="19.2" customHeight="1" x14ac:dyDescent="0.3">
      <c r="B52" s="836"/>
      <c r="C52" s="838"/>
      <c r="D52" s="838"/>
      <c r="E52" s="838"/>
      <c r="F52" s="838"/>
      <c r="G52" s="838"/>
      <c r="H52" s="838"/>
      <c r="I52" s="838"/>
      <c r="J52" s="838"/>
      <c r="K52" s="838"/>
      <c r="L52" s="838"/>
      <c r="M52" s="838"/>
      <c r="N52" s="838"/>
      <c r="O52" s="838"/>
      <c r="P52" s="838"/>
      <c r="Q52" s="838"/>
      <c r="R52" s="838"/>
      <c r="S52" s="838"/>
      <c r="T52" s="838"/>
      <c r="U52" s="838"/>
      <c r="V52" s="838"/>
      <c r="W52" s="838"/>
      <c r="X52" s="838"/>
      <c r="Y52" s="838"/>
      <c r="Z52" s="838"/>
      <c r="AA52" s="838"/>
      <c r="AB52" s="838"/>
      <c r="AC52" s="838"/>
      <c r="AD52" s="838"/>
      <c r="AE52" s="838"/>
      <c r="AF52" s="838"/>
      <c r="AG52" s="838"/>
      <c r="AH52" s="838"/>
      <c r="AI52" s="838"/>
      <c r="AJ52" s="838"/>
      <c r="AK52" s="838"/>
      <c r="AL52" s="838"/>
      <c r="AM52" s="838"/>
      <c r="AN52" s="838"/>
      <c r="AO52" s="838"/>
      <c r="AP52" s="838"/>
      <c r="AQ52" s="838"/>
      <c r="AR52" s="838"/>
      <c r="AS52" s="838"/>
    </row>
    <row r="53" spans="1:53" ht="19.2" customHeight="1" x14ac:dyDescent="0.3">
      <c r="B53" s="56"/>
    </row>
  </sheetData>
  <mergeCells count="43">
    <mergeCell ref="A22:B22"/>
    <mergeCell ref="A28:B28"/>
    <mergeCell ref="BD2:BE2"/>
    <mergeCell ref="C1:F1"/>
    <mergeCell ref="G1:J1"/>
    <mergeCell ref="AA1:AD1"/>
    <mergeCell ref="W1:Z1"/>
    <mergeCell ref="S1:V1"/>
    <mergeCell ref="O1:R1"/>
    <mergeCell ref="K1:N1"/>
    <mergeCell ref="AU1:AX1"/>
    <mergeCell ref="AQ1:AT1"/>
    <mergeCell ref="AM1:AP1"/>
    <mergeCell ref="AE1:AH1"/>
    <mergeCell ref="C9:F9"/>
    <mergeCell ref="AZ9:BA9"/>
    <mergeCell ref="C42:F42"/>
    <mergeCell ref="G42:J42"/>
    <mergeCell ref="K42:N42"/>
    <mergeCell ref="O42:R42"/>
    <mergeCell ref="S42:V42"/>
    <mergeCell ref="W42:Z42"/>
    <mergeCell ref="AA42:AD42"/>
    <mergeCell ref="AE42:AH42"/>
    <mergeCell ref="AM42:AP42"/>
    <mergeCell ref="AQ42:AT42"/>
    <mergeCell ref="AU42:AX42"/>
    <mergeCell ref="AZ42:BB42"/>
    <mergeCell ref="AI1:AL1"/>
    <mergeCell ref="AI42:AL42"/>
    <mergeCell ref="AZ1:BB1"/>
    <mergeCell ref="AU9:AX9"/>
    <mergeCell ref="AQ9:AT9"/>
    <mergeCell ref="A9:B10"/>
    <mergeCell ref="AA9:AD9"/>
    <mergeCell ref="AE9:AH9"/>
    <mergeCell ref="AI9:AL9"/>
    <mergeCell ref="AM9:AP9"/>
    <mergeCell ref="G9:J9"/>
    <mergeCell ref="K9:N9"/>
    <mergeCell ref="O9:R9"/>
    <mergeCell ref="S9:V9"/>
    <mergeCell ref="W9:Z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C5E1-3622-40D0-847A-F85F7C2CC77D}">
  <dimension ref="A1:R38"/>
  <sheetViews>
    <sheetView workbookViewId="0">
      <pane ySplit="1" topLeftCell="A2" activePane="bottomLeft" state="frozen"/>
      <selection pane="bottomLeft" activeCell="I16" sqref="I16"/>
    </sheetView>
  </sheetViews>
  <sheetFormatPr defaultRowHeight="14.4" x14ac:dyDescent="0.3"/>
  <cols>
    <col min="1" max="1" width="34.33203125" style="2" customWidth="1"/>
    <col min="2" max="2" width="11.21875" style="2" customWidth="1"/>
    <col min="3" max="3" width="4.6640625" style="2" customWidth="1"/>
    <col min="4" max="15" width="10.33203125" style="2" customWidth="1"/>
    <col min="16" max="16" width="4.109375" style="2" customWidth="1"/>
    <col min="17" max="17" width="11.6640625" style="2" customWidth="1"/>
    <col min="18" max="18" width="8.88671875" style="2"/>
    <col min="19" max="19" width="9.33203125" style="2" bestFit="1" customWidth="1"/>
    <col min="20" max="16384" width="8.88671875" style="2"/>
  </cols>
  <sheetData>
    <row r="1" spans="1:17" s="74" customFormat="1" ht="28.5" customHeight="1" x14ac:dyDescent="0.3">
      <c r="A1" s="71" t="s">
        <v>27</v>
      </c>
      <c r="B1" s="72" t="s">
        <v>28</v>
      </c>
      <c r="C1" s="72"/>
      <c r="D1" s="72" t="s">
        <v>8</v>
      </c>
      <c r="E1" s="72" t="s">
        <v>9</v>
      </c>
      <c r="F1" s="72" t="s">
        <v>10</v>
      </c>
      <c r="G1" s="72" t="s">
        <v>11</v>
      </c>
      <c r="H1" s="72" t="s">
        <v>12</v>
      </c>
      <c r="I1" s="72" t="s">
        <v>13</v>
      </c>
      <c r="J1" s="72" t="s">
        <v>14</v>
      </c>
      <c r="K1" s="72" t="s">
        <v>15</v>
      </c>
      <c r="L1" s="72" t="s">
        <v>16</v>
      </c>
      <c r="M1" s="72" t="s">
        <v>17</v>
      </c>
      <c r="N1" s="72" t="s">
        <v>18</v>
      </c>
      <c r="O1" s="72" t="s">
        <v>19</v>
      </c>
      <c r="P1" s="72"/>
      <c r="Q1" s="73" t="s">
        <v>20</v>
      </c>
    </row>
    <row r="2" spans="1:17" s="10" customFormat="1" ht="16.2" customHeight="1" x14ac:dyDescent="0.3">
      <c r="D2" s="75"/>
      <c r="E2" s="75"/>
      <c r="F2" s="75"/>
      <c r="G2" s="75"/>
      <c r="H2" s="75"/>
      <c r="I2" s="75"/>
      <c r="J2" s="75"/>
      <c r="K2" s="75"/>
      <c r="L2" s="75"/>
      <c r="M2" s="75"/>
      <c r="N2" s="75"/>
      <c r="O2" s="75"/>
      <c r="P2" s="76"/>
      <c r="Q2" s="75"/>
    </row>
    <row r="3" spans="1:17" s="164" customFormat="1" ht="21" customHeight="1" x14ac:dyDescent="0.3">
      <c r="A3" s="161"/>
      <c r="B3" s="331">
        <v>0</v>
      </c>
      <c r="C3" s="331"/>
      <c r="D3" s="162">
        <f>B22</f>
        <v>80000</v>
      </c>
      <c r="E3" s="162">
        <f t="shared" ref="E3" si="0">D22</f>
        <v>72222.138831670483</v>
      </c>
      <c r="F3" s="162">
        <f t="shared" ref="F3" si="1">E22</f>
        <v>66109.308268748486</v>
      </c>
      <c r="G3" s="162">
        <f t="shared" ref="G3" si="2">F22</f>
        <v>59036.534309331473</v>
      </c>
      <c r="H3" s="162">
        <f t="shared" ref="H3" si="3">G22</f>
        <v>53727.160377234468</v>
      </c>
      <c r="I3" s="162">
        <f t="shared" ref="I3" si="4">H22</f>
        <v>47670.779963137458</v>
      </c>
      <c r="J3" s="162">
        <f t="shared" ref="J3" si="5">I22</f>
        <v>43691.340265040453</v>
      </c>
      <c r="K3" s="162">
        <f t="shared" ref="K3" si="6">J22</f>
        <v>39478.933607355946</v>
      </c>
      <c r="L3" s="162">
        <f t="shared" ref="L3" si="7">K22</f>
        <v>35787.918697919944</v>
      </c>
      <c r="M3" s="162">
        <f t="shared" ref="M3" si="8">L22</f>
        <v>33084.532968419269</v>
      </c>
      <c r="N3" s="162">
        <f t="shared" ref="N3" si="9">M22</f>
        <v>32055.713274986432</v>
      </c>
      <c r="O3" s="162">
        <f t="shared" ref="O3" si="10">N22</f>
        <v>31694.04597843243</v>
      </c>
      <c r="P3" s="163"/>
      <c r="Q3" s="163"/>
    </row>
    <row r="4" spans="1:17" s="16" customFormat="1" ht="16.2" customHeight="1" x14ac:dyDescent="0.3"/>
    <row r="5" spans="1:17" s="77" customFormat="1" ht="20.399999999999999" customHeight="1" x14ac:dyDescent="0.3">
      <c r="A5" s="160" t="s">
        <v>111</v>
      </c>
      <c r="B5" s="92" t="s">
        <v>28</v>
      </c>
      <c r="C5" s="338"/>
      <c r="D5" s="92" t="str">
        <f>D1</f>
        <v>Month 1</v>
      </c>
      <c r="E5" s="92" t="str">
        <f t="shared" ref="E5:O5" si="11">E1</f>
        <v>Month 2</v>
      </c>
      <c r="F5" s="92" t="str">
        <f t="shared" si="11"/>
        <v>Month 3</v>
      </c>
      <c r="G5" s="92" t="str">
        <f t="shared" si="11"/>
        <v>Month 4</v>
      </c>
      <c r="H5" s="92" t="str">
        <f t="shared" si="11"/>
        <v>Month 5</v>
      </c>
      <c r="I5" s="92" t="str">
        <f t="shared" si="11"/>
        <v>Month 6</v>
      </c>
      <c r="J5" s="92" t="str">
        <f t="shared" si="11"/>
        <v>Month 7</v>
      </c>
      <c r="K5" s="92" t="str">
        <f t="shared" si="11"/>
        <v>Month 8</v>
      </c>
      <c r="L5" s="92" t="str">
        <f t="shared" si="11"/>
        <v>Month 9</v>
      </c>
      <c r="M5" s="92" t="str">
        <f t="shared" si="11"/>
        <v>Month 10</v>
      </c>
      <c r="N5" s="92" t="str">
        <f t="shared" si="11"/>
        <v>Month 11</v>
      </c>
      <c r="O5" s="92" t="str">
        <f t="shared" si="11"/>
        <v>Month 12</v>
      </c>
      <c r="P5" s="335"/>
      <c r="Q5" s="93" t="s">
        <v>20</v>
      </c>
    </row>
    <row r="6" spans="1:17" s="77" customFormat="1" ht="16.2" customHeight="1" x14ac:dyDescent="0.3">
      <c r="A6" s="80" t="s">
        <v>114</v>
      </c>
      <c r="B6" s="81">
        <f>'Founder expnt'!B24</f>
        <v>12638.788</v>
      </c>
      <c r="C6" s="339"/>
      <c r="D6" s="82">
        <v>0</v>
      </c>
      <c r="E6" s="82">
        <v>0</v>
      </c>
      <c r="F6" s="82">
        <v>0</v>
      </c>
      <c r="G6" s="82">
        <v>0</v>
      </c>
      <c r="H6" s="82">
        <v>0</v>
      </c>
      <c r="I6" s="81">
        <v>0</v>
      </c>
      <c r="J6" s="82">
        <v>0</v>
      </c>
      <c r="K6" s="82">
        <v>0</v>
      </c>
      <c r="L6" s="82">
        <v>0</v>
      </c>
      <c r="M6" s="82">
        <v>0</v>
      </c>
      <c r="N6" s="82">
        <v>0</v>
      </c>
      <c r="O6" s="82">
        <v>0</v>
      </c>
      <c r="P6" s="336"/>
      <c r="Q6" s="82">
        <f>SUM(D6:O6)</f>
        <v>0</v>
      </c>
    </row>
    <row r="7" spans="1:17" s="77" customFormat="1" ht="16.2" customHeight="1" x14ac:dyDescent="0.3">
      <c r="A7" s="80" t="s">
        <v>288</v>
      </c>
      <c r="B7" s="82">
        <v>0</v>
      </c>
      <c r="C7" s="340"/>
      <c r="D7" s="83">
        <f>'Sales 1st yr'!E7</f>
        <v>82.9</v>
      </c>
      <c r="E7" s="83">
        <f>'Sales 1st yr'!H7</f>
        <v>131.315</v>
      </c>
      <c r="F7" s="83">
        <f>'Sales 1st yr'!K7</f>
        <v>2278.4255000000003</v>
      </c>
      <c r="G7" s="83">
        <f>'Sales 1st yr'!N7</f>
        <v>3845.29286</v>
      </c>
      <c r="H7" s="83">
        <f>'Sales 1st yr'!Q7</f>
        <v>5343.5730413999991</v>
      </c>
      <c r="I7" s="83">
        <f>'Sales 1st yr'!T7</f>
        <v>5994.5087622999999</v>
      </c>
      <c r="J7" s="83">
        <f>'Sales 1st yr'!W7</f>
        <v>6564.7924270999993</v>
      </c>
      <c r="K7" s="83">
        <f>'Sales 1st yr'!Z7</f>
        <v>7613.9228367885007</v>
      </c>
      <c r="L7" s="83">
        <f>'Sales 1st yr'!AC7</f>
        <v>8536.2199737913343</v>
      </c>
      <c r="M7" s="83">
        <f>'Sales 1st yr'!AF7</f>
        <v>9312.3029679066676</v>
      </c>
      <c r="N7" s="83">
        <f>'Sales 1st yr'!AI7</f>
        <v>9983.1394057580055</v>
      </c>
      <c r="O7" s="83">
        <f>'Sales 1st yr'!AL7</f>
        <v>10549.283432867142</v>
      </c>
      <c r="P7" s="335"/>
      <c r="Q7" s="82">
        <f t="shared" ref="Q7:Q9" si="12">SUM(D7:O7)</f>
        <v>70235.676207911645</v>
      </c>
    </row>
    <row r="8" spans="1:17" s="77" customFormat="1" ht="16.2" customHeight="1" x14ac:dyDescent="0.3">
      <c r="A8" s="80" t="s">
        <v>353</v>
      </c>
      <c r="B8" s="82">
        <v>0</v>
      </c>
      <c r="C8" s="340"/>
      <c r="D8" s="83">
        <f>'VAT 1st yr'!C18</f>
        <v>0</v>
      </c>
      <c r="E8" s="83">
        <f>'VAT 1st yr'!D18</f>
        <v>0</v>
      </c>
      <c r="F8" s="83">
        <f>'VAT 1st yr'!E18</f>
        <v>0</v>
      </c>
      <c r="G8" s="83">
        <f>'VAT 1st yr'!H18</f>
        <v>0</v>
      </c>
      <c r="H8" s="83">
        <f>'VAT 1st yr'!I18</f>
        <v>0</v>
      </c>
      <c r="I8" s="83">
        <f>'VAT 1st yr'!J18</f>
        <v>0</v>
      </c>
      <c r="J8" s="83">
        <f>'VAT 1st yr'!M18</f>
        <v>0</v>
      </c>
      <c r="K8" s="83">
        <f>'VAT 1st yr'!N18</f>
        <v>0</v>
      </c>
      <c r="L8" s="83">
        <f>'VAT 1st yr'!O18</f>
        <v>0</v>
      </c>
      <c r="M8" s="83">
        <f>'VAT 1st yr'!R18</f>
        <v>0</v>
      </c>
      <c r="N8" s="83">
        <f>'VAT 1st yr'!S18</f>
        <v>0</v>
      </c>
      <c r="O8" s="83">
        <f>'VAT 1st yr'!T18</f>
        <v>0</v>
      </c>
      <c r="P8" s="335"/>
      <c r="Q8" s="82">
        <f t="shared" si="12"/>
        <v>0</v>
      </c>
    </row>
    <row r="9" spans="1:17" s="77" customFormat="1" ht="16.2" customHeight="1" x14ac:dyDescent="0.3">
      <c r="A9" s="13" t="s">
        <v>197</v>
      </c>
      <c r="B9" s="82">
        <v>80000</v>
      </c>
      <c r="C9" s="340"/>
      <c r="D9" s="82">
        <v>0</v>
      </c>
      <c r="E9" s="82">
        <v>0</v>
      </c>
      <c r="F9" s="82">
        <v>0</v>
      </c>
      <c r="G9" s="82">
        <v>0</v>
      </c>
      <c r="H9" s="82">
        <v>0</v>
      </c>
      <c r="I9" s="82">
        <v>0</v>
      </c>
      <c r="J9" s="82">
        <v>0</v>
      </c>
      <c r="K9" s="82">
        <v>0</v>
      </c>
      <c r="L9" s="82">
        <v>0</v>
      </c>
      <c r="M9" s="82">
        <v>0</v>
      </c>
      <c r="N9" s="82">
        <v>0</v>
      </c>
      <c r="O9" s="82">
        <v>0</v>
      </c>
      <c r="P9" s="336"/>
      <c r="Q9" s="82">
        <f t="shared" si="12"/>
        <v>0</v>
      </c>
    </row>
    <row r="10" spans="1:17" s="79" customFormat="1" ht="22.8" customHeight="1" x14ac:dyDescent="0.3">
      <c r="A10" s="78" t="s">
        <v>31</v>
      </c>
      <c r="B10" s="331">
        <f t="shared" ref="B10" si="13">SUM(B6:B9)</f>
        <v>92638.788</v>
      </c>
      <c r="C10" s="332"/>
      <c r="D10" s="337">
        <f>SUM(D6:D9)</f>
        <v>82.9</v>
      </c>
      <c r="E10" s="337">
        <f t="shared" ref="E10:O10" si="14">SUM(E6:E9)</f>
        <v>131.315</v>
      </c>
      <c r="F10" s="337">
        <f t="shared" si="14"/>
        <v>2278.4255000000003</v>
      </c>
      <c r="G10" s="337">
        <f t="shared" si="14"/>
        <v>3845.29286</v>
      </c>
      <c r="H10" s="337">
        <f t="shared" si="14"/>
        <v>5343.5730413999991</v>
      </c>
      <c r="I10" s="337">
        <f t="shared" si="14"/>
        <v>5994.5087622999999</v>
      </c>
      <c r="J10" s="337">
        <f t="shared" si="14"/>
        <v>6564.7924270999993</v>
      </c>
      <c r="K10" s="337">
        <f t="shared" si="14"/>
        <v>7613.9228367885007</v>
      </c>
      <c r="L10" s="337">
        <f t="shared" si="14"/>
        <v>8536.2199737913343</v>
      </c>
      <c r="M10" s="337">
        <f t="shared" si="14"/>
        <v>9312.3029679066676</v>
      </c>
      <c r="N10" s="337">
        <f t="shared" si="14"/>
        <v>9983.1394057580055</v>
      </c>
      <c r="O10" s="337">
        <f t="shared" si="14"/>
        <v>10549.283432867142</v>
      </c>
      <c r="P10" s="85"/>
      <c r="Q10" s="85">
        <f>SUM(D10:O10)</f>
        <v>70235.676207911645</v>
      </c>
    </row>
    <row r="11" spans="1:17" s="16" customFormat="1" ht="16.2" customHeight="1" x14ac:dyDescent="0.3">
      <c r="A11" s="77"/>
      <c r="B11" s="77"/>
      <c r="C11" s="77"/>
      <c r="D11" s="66"/>
      <c r="E11" s="66"/>
      <c r="F11" s="66"/>
      <c r="G11" s="66"/>
      <c r="H11" s="66"/>
      <c r="I11" s="66"/>
      <c r="Q11" s="86"/>
    </row>
    <row r="12" spans="1:17" s="16" customFormat="1" ht="20.399999999999999" customHeight="1" x14ac:dyDescent="0.3">
      <c r="A12" s="160" t="s">
        <v>112</v>
      </c>
      <c r="B12" s="333" t="s">
        <v>28</v>
      </c>
      <c r="C12" s="333"/>
      <c r="D12" s="92" t="str">
        <f t="shared" ref="D12:O12" si="15">D5</f>
        <v>Month 1</v>
      </c>
      <c r="E12" s="92" t="str">
        <f t="shared" si="15"/>
        <v>Month 2</v>
      </c>
      <c r="F12" s="92" t="str">
        <f t="shared" si="15"/>
        <v>Month 3</v>
      </c>
      <c r="G12" s="92" t="str">
        <f t="shared" si="15"/>
        <v>Month 4</v>
      </c>
      <c r="H12" s="92" t="str">
        <f t="shared" si="15"/>
        <v>Month 5</v>
      </c>
      <c r="I12" s="92" t="str">
        <f t="shared" si="15"/>
        <v>Month 6</v>
      </c>
      <c r="J12" s="92" t="str">
        <f t="shared" si="15"/>
        <v>Month 7</v>
      </c>
      <c r="K12" s="92" t="str">
        <f t="shared" si="15"/>
        <v>Month 8</v>
      </c>
      <c r="L12" s="92" t="str">
        <f t="shared" si="15"/>
        <v>Month 9</v>
      </c>
      <c r="M12" s="92" t="str">
        <f t="shared" si="15"/>
        <v>Month 10</v>
      </c>
      <c r="N12" s="92" t="str">
        <f t="shared" si="15"/>
        <v>Month 11</v>
      </c>
      <c r="O12" s="92" t="str">
        <f t="shared" si="15"/>
        <v>Month 12</v>
      </c>
      <c r="P12" s="84"/>
      <c r="Q12" s="93" t="s">
        <v>20</v>
      </c>
    </row>
    <row r="13" spans="1:17" s="16" customFormat="1" ht="16.2" customHeight="1" x14ac:dyDescent="0.3">
      <c r="A13" s="80" t="s">
        <v>6</v>
      </c>
      <c r="B13" s="83">
        <v>0</v>
      </c>
      <c r="C13" s="83"/>
      <c r="D13" s="82"/>
      <c r="E13" s="82"/>
      <c r="F13" s="82"/>
      <c r="G13" s="82"/>
      <c r="H13" s="82"/>
      <c r="I13" s="82"/>
      <c r="J13" s="82"/>
      <c r="K13" s="82"/>
      <c r="L13" s="82"/>
      <c r="M13" s="82"/>
      <c r="N13" s="82"/>
      <c r="O13" s="82"/>
      <c r="P13" s="87"/>
      <c r="Q13" s="82">
        <f t="shared" ref="Q13:Q16" si="16">SUM(D13:O13)</f>
        <v>0</v>
      </c>
    </row>
    <row r="14" spans="1:17" s="16" customFormat="1" ht="16.2" customHeight="1" x14ac:dyDescent="0.3">
      <c r="A14" s="80" t="s">
        <v>5</v>
      </c>
      <c r="B14" s="83">
        <f>-'Founder expnt'!B24</f>
        <v>-12638.788</v>
      </c>
      <c r="C14" s="83"/>
      <c r="D14" s="82">
        <f>-'Expenses 1st yr'!C32</f>
        <v>-7860.7611683295045</v>
      </c>
      <c r="E14" s="82">
        <f>-'Expenses 1st yr'!D32</f>
        <v>-6244.1455629220045</v>
      </c>
      <c r="F14" s="82">
        <f>-'Expenses 1st yr'!E32</f>
        <v>-9351.1994594170064</v>
      </c>
      <c r="G14" s="82">
        <f>-'Expenses 1st yr'!F32</f>
        <v>-9154.6667920970049</v>
      </c>
      <c r="H14" s="82">
        <f>-'Expenses 1st yr'!G32</f>
        <v>-11372.003455497006</v>
      </c>
      <c r="I14" s="82">
        <f>-'Expenses 1st yr'!H32</f>
        <v>-9945.9984603970061</v>
      </c>
      <c r="J14" s="82">
        <f>-'Expenses 1st yr'!I32</f>
        <v>-10749.249084784506</v>
      </c>
      <c r="K14" s="82">
        <f>-'Expenses 1st yr'!J32</f>
        <v>-11276.987746224506</v>
      </c>
      <c r="L14" s="82">
        <f>-'Expenses 1st yr'!K32</f>
        <v>-11183.705703292006</v>
      </c>
      <c r="M14" s="82">
        <f>-'Expenses 1st yr'!L32</f>
        <v>-10285.222661339505</v>
      </c>
      <c r="N14" s="82">
        <f>-'Expenses 1st yr'!M32</f>
        <v>-10288.906702312006</v>
      </c>
      <c r="O14" s="82">
        <f>-'Expenses 1st yr'!N32</f>
        <v>-10087.823160849506</v>
      </c>
      <c r="P14" s="87"/>
      <c r="Q14" s="82">
        <f>SUM(D14:O14)</f>
        <v>-117800.66995746156</v>
      </c>
    </row>
    <row r="15" spans="1:17" s="16" customFormat="1" ht="16.2" customHeight="1" x14ac:dyDescent="0.3">
      <c r="A15" s="80" t="s">
        <v>275</v>
      </c>
      <c r="B15" s="83">
        <v>0</v>
      </c>
      <c r="C15" s="83"/>
      <c r="D15" s="82">
        <v>0</v>
      </c>
      <c r="E15" s="82">
        <v>0</v>
      </c>
      <c r="F15" s="82">
        <v>0</v>
      </c>
      <c r="G15" s="82">
        <f>-'VAT 1st yr'!F18</f>
        <v>0</v>
      </c>
      <c r="H15" s="82">
        <v>0</v>
      </c>
      <c r="I15" s="82">
        <v>0</v>
      </c>
      <c r="J15" s="82">
        <f>-'VAT 1st yr'!K18</f>
        <v>0</v>
      </c>
      <c r="K15" s="82">
        <v>0</v>
      </c>
      <c r="L15" s="82">
        <v>0</v>
      </c>
      <c r="M15" s="82">
        <f>-'VAT 1st yr'!P18</f>
        <v>0</v>
      </c>
      <c r="N15" s="82">
        <v>0</v>
      </c>
      <c r="O15" s="82">
        <v>0</v>
      </c>
      <c r="P15" s="87"/>
      <c r="Q15" s="82">
        <f>SUM(D15:O15)</f>
        <v>0</v>
      </c>
    </row>
    <row r="16" spans="1:17" s="16" customFormat="1" ht="16.2" customHeight="1" x14ac:dyDescent="0.3">
      <c r="A16" s="80" t="s">
        <v>42</v>
      </c>
      <c r="B16" s="83"/>
      <c r="C16" s="83"/>
      <c r="D16" s="82">
        <f>'Sales 1st yr'!E13</f>
        <v>0</v>
      </c>
      <c r="E16" s="82">
        <f>'Sales 1st yr'!H13</f>
        <v>0</v>
      </c>
      <c r="F16" s="82">
        <f>'Sales 1st yr'!K13</f>
        <v>0</v>
      </c>
      <c r="G16" s="82">
        <f>'Sales 1st yr'!N13</f>
        <v>0</v>
      </c>
      <c r="H16" s="82">
        <f>'Sales 1st yr'!Q13</f>
        <v>-27.95</v>
      </c>
      <c r="I16" s="82">
        <f>'Sales 1st yr'!T13</f>
        <v>-27.95</v>
      </c>
      <c r="J16" s="82">
        <f>'Sales 1st yr'!W13</f>
        <v>-27.95</v>
      </c>
      <c r="K16" s="82">
        <f>'Sales 1st yr'!Z13</f>
        <v>-27.95</v>
      </c>
      <c r="L16" s="82">
        <f>'Sales 1st yr'!AC11</f>
        <v>-55.9</v>
      </c>
      <c r="M16" s="82">
        <f>'Sales 1st yr'!AF13</f>
        <v>-55.9</v>
      </c>
      <c r="N16" s="82">
        <f>'Sales 1st yr'!AI13</f>
        <v>-55.9</v>
      </c>
      <c r="O16" s="82">
        <f>'Sales 1st yr'!AL13</f>
        <v>-55.9</v>
      </c>
      <c r="P16" s="87"/>
      <c r="Q16" s="82">
        <f t="shared" si="16"/>
        <v>-335.4</v>
      </c>
    </row>
    <row r="17" spans="1:18" s="88" customFormat="1" ht="22.2" customHeight="1" x14ac:dyDescent="0.3">
      <c r="A17" s="88" t="s">
        <v>43</v>
      </c>
      <c r="B17" s="334">
        <f t="shared" ref="B17" si="17">SUM(B13:B16)</f>
        <v>-12638.788</v>
      </c>
      <c r="C17" s="334"/>
      <c r="D17" s="89">
        <f>SUM(D13:D16)</f>
        <v>-7860.7611683295045</v>
      </c>
      <c r="E17" s="89">
        <f t="shared" ref="E17:O17" si="18">SUM(E13:E16)</f>
        <v>-6244.1455629220045</v>
      </c>
      <c r="F17" s="89">
        <f t="shared" si="18"/>
        <v>-9351.1994594170064</v>
      </c>
      <c r="G17" s="89">
        <f t="shared" si="18"/>
        <v>-9154.6667920970049</v>
      </c>
      <c r="H17" s="89">
        <f t="shared" si="18"/>
        <v>-11399.953455497007</v>
      </c>
      <c r="I17" s="89">
        <f t="shared" si="18"/>
        <v>-9973.9484603970068</v>
      </c>
      <c r="J17" s="89">
        <f t="shared" si="18"/>
        <v>-10777.199084784506</v>
      </c>
      <c r="K17" s="89">
        <f t="shared" si="18"/>
        <v>-11304.937746224507</v>
      </c>
      <c r="L17" s="89">
        <f t="shared" si="18"/>
        <v>-11239.605703292005</v>
      </c>
      <c r="M17" s="89">
        <f t="shared" si="18"/>
        <v>-10341.122661339505</v>
      </c>
      <c r="N17" s="89">
        <f t="shared" si="18"/>
        <v>-10344.806702312006</v>
      </c>
      <c r="O17" s="89">
        <f t="shared" si="18"/>
        <v>-10143.723160849506</v>
      </c>
      <c r="P17" s="90"/>
      <c r="Q17" s="90">
        <f t="shared" ref="Q17" si="19">SUM(B17:O17)</f>
        <v>-130774.85795746157</v>
      </c>
    </row>
    <row r="18" spans="1:18" s="16" customFormat="1" ht="16.2" customHeight="1" x14ac:dyDescent="0.3"/>
    <row r="19" spans="1:18" s="16" customFormat="1" ht="16.2" customHeight="1" x14ac:dyDescent="0.3"/>
    <row r="20" spans="1:18" s="16" customFormat="1" ht="20.399999999999999" customHeight="1" x14ac:dyDescent="0.3">
      <c r="A20" s="91"/>
      <c r="B20" s="333" t="s">
        <v>28</v>
      </c>
      <c r="C20" s="333"/>
      <c r="D20" s="92" t="str">
        <f t="shared" ref="D20:O20" si="20">D1</f>
        <v>Month 1</v>
      </c>
      <c r="E20" s="92" t="str">
        <f t="shared" si="20"/>
        <v>Month 2</v>
      </c>
      <c r="F20" s="92" t="str">
        <f t="shared" si="20"/>
        <v>Month 3</v>
      </c>
      <c r="G20" s="92" t="str">
        <f t="shared" si="20"/>
        <v>Month 4</v>
      </c>
      <c r="H20" s="92" t="str">
        <f t="shared" si="20"/>
        <v>Month 5</v>
      </c>
      <c r="I20" s="92" t="str">
        <f t="shared" si="20"/>
        <v>Month 6</v>
      </c>
      <c r="J20" s="92" t="str">
        <f t="shared" si="20"/>
        <v>Month 7</v>
      </c>
      <c r="K20" s="92" t="str">
        <f t="shared" si="20"/>
        <v>Month 8</v>
      </c>
      <c r="L20" s="92" t="str">
        <f t="shared" si="20"/>
        <v>Month 9</v>
      </c>
      <c r="M20" s="92" t="str">
        <f t="shared" si="20"/>
        <v>Month 10</v>
      </c>
      <c r="N20" s="92" t="str">
        <f t="shared" si="20"/>
        <v>Month 11</v>
      </c>
      <c r="O20" s="92" t="str">
        <f t="shared" si="20"/>
        <v>Month 12</v>
      </c>
      <c r="P20" s="80"/>
      <c r="Q20" s="93" t="s">
        <v>20</v>
      </c>
    </row>
    <row r="21" spans="1:18" s="16" customFormat="1" ht="26.4" customHeight="1" x14ac:dyDescent="0.3">
      <c r="A21" s="80" t="s">
        <v>33</v>
      </c>
      <c r="B21" s="83">
        <f t="shared" ref="B21:O21" si="21">B10+B17</f>
        <v>80000</v>
      </c>
      <c r="C21" s="83"/>
      <c r="D21" s="83">
        <f t="shared" si="21"/>
        <v>-7777.8611683295048</v>
      </c>
      <c r="E21" s="83">
        <f t="shared" si="21"/>
        <v>-6112.8305629220049</v>
      </c>
      <c r="F21" s="83">
        <f t="shared" si="21"/>
        <v>-7072.7739594170062</v>
      </c>
      <c r="G21" s="83">
        <f t="shared" si="21"/>
        <v>-5309.3739320970053</v>
      </c>
      <c r="H21" s="83">
        <f t="shared" si="21"/>
        <v>-6056.3804140970078</v>
      </c>
      <c r="I21" s="83">
        <f t="shared" si="21"/>
        <v>-3979.4396980970068</v>
      </c>
      <c r="J21" s="83">
        <f t="shared" si="21"/>
        <v>-4212.4066576845071</v>
      </c>
      <c r="K21" s="83">
        <f t="shared" si="21"/>
        <v>-3691.0149094360058</v>
      </c>
      <c r="L21" s="83">
        <f t="shared" si="21"/>
        <v>-2703.385729500671</v>
      </c>
      <c r="M21" s="83">
        <f t="shared" si="21"/>
        <v>-1028.8196934328371</v>
      </c>
      <c r="N21" s="83">
        <f t="shared" si="21"/>
        <v>-361.66729655400013</v>
      </c>
      <c r="O21" s="83">
        <f t="shared" si="21"/>
        <v>405.56027201763573</v>
      </c>
      <c r="P21" s="83"/>
      <c r="Q21" s="94">
        <f>SUM(B21:P21)</f>
        <v>32099.60625045007</v>
      </c>
    </row>
    <row r="22" spans="1:18" s="159" customFormat="1" ht="27.6" customHeight="1" x14ac:dyDescent="0.3">
      <c r="A22" s="155" t="s">
        <v>34</v>
      </c>
      <c r="B22" s="331">
        <f t="shared" ref="B22:O22" si="22">B3+B10+B17</f>
        <v>80000</v>
      </c>
      <c r="C22" s="331"/>
      <c r="D22" s="156">
        <f>D3+D10+D17</f>
        <v>72222.138831670483</v>
      </c>
      <c r="E22" s="156">
        <f t="shared" ref="E22:J22" si="23">E3+E10+E17</f>
        <v>66109.308268748486</v>
      </c>
      <c r="F22" s="156">
        <f t="shared" si="23"/>
        <v>59036.534309331473</v>
      </c>
      <c r="G22" s="156">
        <f t="shared" si="23"/>
        <v>53727.160377234468</v>
      </c>
      <c r="H22" s="156">
        <f t="shared" si="23"/>
        <v>47670.779963137458</v>
      </c>
      <c r="I22" s="156">
        <f t="shared" si="23"/>
        <v>43691.340265040453</v>
      </c>
      <c r="J22" s="156">
        <f t="shared" si="23"/>
        <v>39478.933607355946</v>
      </c>
      <c r="K22" s="156">
        <f t="shared" si="22"/>
        <v>35787.918697919944</v>
      </c>
      <c r="L22" s="156">
        <f t="shared" si="22"/>
        <v>33084.532968419269</v>
      </c>
      <c r="M22" s="156">
        <f t="shared" si="22"/>
        <v>32055.713274986432</v>
      </c>
      <c r="N22" s="156">
        <f t="shared" si="22"/>
        <v>31694.04597843243</v>
      </c>
      <c r="O22" s="156">
        <f t="shared" si="22"/>
        <v>32099.606250450066</v>
      </c>
      <c r="P22" s="156"/>
      <c r="Q22" s="157"/>
      <c r="R22" s="158"/>
    </row>
    <row r="23" spans="1:18" s="16" customFormat="1" ht="21.6" customHeight="1" x14ac:dyDescent="0.3">
      <c r="A23" s="80" t="s">
        <v>35</v>
      </c>
      <c r="B23" s="83">
        <f t="shared" ref="B23:O23" si="24">IF(B22&lt;B26,B26-B22,0)</f>
        <v>0</v>
      </c>
      <c r="C23" s="83"/>
      <c r="D23" s="83">
        <f t="shared" si="24"/>
        <v>0</v>
      </c>
      <c r="E23" s="83">
        <f t="shared" si="24"/>
        <v>0</v>
      </c>
      <c r="F23" s="83">
        <f t="shared" si="24"/>
        <v>0</v>
      </c>
      <c r="G23" s="83">
        <f t="shared" si="24"/>
        <v>0</v>
      </c>
      <c r="H23" s="83">
        <f t="shared" si="24"/>
        <v>0</v>
      </c>
      <c r="I23" s="83">
        <f t="shared" si="24"/>
        <v>0</v>
      </c>
      <c r="J23" s="83">
        <f t="shared" si="24"/>
        <v>0</v>
      </c>
      <c r="K23" s="83">
        <f t="shared" si="24"/>
        <v>0</v>
      </c>
      <c r="L23" s="83">
        <f t="shared" si="24"/>
        <v>0</v>
      </c>
      <c r="M23" s="83">
        <f t="shared" si="24"/>
        <v>0</v>
      </c>
      <c r="N23" s="83">
        <f t="shared" si="24"/>
        <v>0</v>
      </c>
      <c r="O23" s="83">
        <f t="shared" si="24"/>
        <v>0</v>
      </c>
      <c r="P23" s="83"/>
      <c r="Q23" s="94">
        <f>SUM(D23:P23)</f>
        <v>0</v>
      </c>
      <c r="R23" s="86"/>
    </row>
    <row r="24" spans="1:18" s="16" customFormat="1" ht="16.2" customHeight="1" x14ac:dyDescent="0.3">
      <c r="A24" s="77"/>
      <c r="B24" s="77"/>
      <c r="C24" s="77"/>
      <c r="D24" s="86"/>
      <c r="E24" s="86"/>
      <c r="F24" s="86"/>
      <c r="G24" s="86"/>
      <c r="H24" s="86"/>
      <c r="I24" s="86"/>
      <c r="J24" s="86"/>
      <c r="K24" s="86"/>
      <c r="L24" s="86"/>
      <c r="M24" s="86"/>
      <c r="N24" s="86"/>
      <c r="O24" s="86"/>
      <c r="P24" s="86"/>
      <c r="Q24" s="86"/>
      <c r="R24" s="86"/>
    </row>
    <row r="25" spans="1:18" s="16" customFormat="1" ht="16.2" customHeight="1" x14ac:dyDescent="0.3">
      <c r="A25" s="77"/>
      <c r="B25" s="77"/>
      <c r="C25" s="77"/>
      <c r="D25" s="86"/>
      <c r="E25" s="86"/>
      <c r="F25" s="86"/>
      <c r="G25" s="86"/>
      <c r="H25" s="86"/>
      <c r="I25" s="86"/>
      <c r="J25" s="86"/>
      <c r="K25" s="86"/>
      <c r="L25" s="86"/>
      <c r="M25" s="86"/>
      <c r="N25" s="86"/>
      <c r="O25" s="86"/>
      <c r="P25" s="86"/>
      <c r="Q25" s="86"/>
      <c r="R25" s="86"/>
    </row>
    <row r="26" spans="1:18" s="16" customFormat="1" ht="16.2" customHeight="1" x14ac:dyDescent="0.3">
      <c r="A26" s="16" t="s">
        <v>36</v>
      </c>
      <c r="B26" s="95">
        <v>0</v>
      </c>
      <c r="C26" s="95"/>
      <c r="D26" s="95">
        <v>1000</v>
      </c>
      <c r="E26" s="95">
        <f t="shared" ref="E26:O26" si="25">D26</f>
        <v>1000</v>
      </c>
      <c r="F26" s="95">
        <f t="shared" si="25"/>
        <v>1000</v>
      </c>
      <c r="G26" s="95">
        <f t="shared" si="25"/>
        <v>1000</v>
      </c>
      <c r="H26" s="95">
        <f t="shared" si="25"/>
        <v>1000</v>
      </c>
      <c r="I26" s="95">
        <f t="shared" si="25"/>
        <v>1000</v>
      </c>
      <c r="J26" s="95">
        <f t="shared" si="25"/>
        <v>1000</v>
      </c>
      <c r="K26" s="95">
        <f t="shared" si="25"/>
        <v>1000</v>
      </c>
      <c r="L26" s="95">
        <f t="shared" si="25"/>
        <v>1000</v>
      </c>
      <c r="M26" s="95">
        <f t="shared" si="25"/>
        <v>1000</v>
      </c>
      <c r="N26" s="95">
        <f t="shared" si="25"/>
        <v>1000</v>
      </c>
      <c r="O26" s="95">
        <f t="shared" si="25"/>
        <v>1000</v>
      </c>
      <c r="P26" s="86"/>
      <c r="Q26" s="86"/>
      <c r="R26" s="86"/>
    </row>
    <row r="27" spans="1:18" s="16" customFormat="1" ht="16.2" customHeight="1" x14ac:dyDescent="0.3">
      <c r="A27" s="77"/>
      <c r="B27" s="95"/>
      <c r="C27" s="95"/>
      <c r="D27" s="95"/>
      <c r="E27" s="95"/>
      <c r="F27" s="95"/>
      <c r="G27" s="95"/>
      <c r="H27" s="95"/>
      <c r="I27" s="95"/>
      <c r="J27" s="95"/>
      <c r="K27" s="95"/>
      <c r="L27" s="95"/>
      <c r="M27" s="95"/>
      <c r="N27" s="95"/>
      <c r="O27" s="95"/>
    </row>
    <row r="28" spans="1:18" s="16" customFormat="1" ht="16.2" customHeight="1" x14ac:dyDescent="0.3">
      <c r="B28" s="95"/>
      <c r="C28" s="95"/>
      <c r="D28" s="95"/>
      <c r="E28" s="95"/>
      <c r="F28" s="95"/>
      <c r="G28" s="95"/>
      <c r="H28" s="95"/>
      <c r="I28" s="95"/>
      <c r="J28" s="95"/>
      <c r="K28" s="95"/>
      <c r="L28" s="95"/>
      <c r="M28" s="95"/>
      <c r="N28" s="95"/>
      <c r="O28" s="95"/>
    </row>
    <row r="29" spans="1:18" s="16" customFormat="1" ht="16.2" customHeight="1" x14ac:dyDescent="0.3">
      <c r="A29" s="96"/>
    </row>
    <row r="30" spans="1:18" s="16" customFormat="1" ht="16.2" customHeight="1" x14ac:dyDescent="0.3"/>
    <row r="31" spans="1:18" s="16" customFormat="1" ht="16.2" customHeight="1" x14ac:dyDescent="0.3"/>
    <row r="32" spans="1:18" s="16" customFormat="1" ht="16.2" customHeight="1" x14ac:dyDescent="0.3"/>
    <row r="33" s="16" customFormat="1" ht="16.2" customHeight="1" x14ac:dyDescent="0.3"/>
    <row r="34" s="16" customFormat="1" ht="16.2" customHeight="1" x14ac:dyDescent="0.3"/>
    <row r="35" s="16" customFormat="1" ht="16.2" customHeight="1" x14ac:dyDescent="0.3"/>
    <row r="36" s="16" customFormat="1" ht="16.2" customHeight="1" x14ac:dyDescent="0.3"/>
    <row r="37" s="16" customFormat="1" ht="16.2" customHeight="1" x14ac:dyDescent="0.3"/>
    <row r="38" s="2" customFormat="1" ht="16.2" customHeight="1" x14ac:dyDescent="0.3"/>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4F71-2B42-4942-BB98-CB414FDDC4E3}">
  <dimension ref="A1:R36"/>
  <sheetViews>
    <sheetView workbookViewId="0">
      <pane ySplit="1" topLeftCell="A12" activePane="bottomLeft" state="frozen"/>
      <selection pane="bottomLeft" activeCell="D15" sqref="D15"/>
    </sheetView>
  </sheetViews>
  <sheetFormatPr defaultRowHeight="13.8" x14ac:dyDescent="0.3"/>
  <cols>
    <col min="1" max="1" width="37.44140625" style="10" customWidth="1"/>
    <col min="2" max="2" width="10.5546875" style="10" customWidth="1"/>
    <col min="3" max="3" width="5.21875" style="10" customWidth="1"/>
    <col min="4" max="8" width="13.5546875" style="10" customWidth="1"/>
    <col min="9" max="16384" width="8.88671875" style="10"/>
  </cols>
  <sheetData>
    <row r="1" spans="1:18" ht="34.799999999999997" customHeight="1" x14ac:dyDescent="0.3">
      <c r="A1" s="71" t="s">
        <v>41</v>
      </c>
      <c r="B1" s="680" t="s">
        <v>63</v>
      </c>
      <c r="C1" s="680"/>
      <c r="D1" s="680" t="s">
        <v>38</v>
      </c>
      <c r="E1" s="680" t="s">
        <v>39</v>
      </c>
      <c r="F1" s="680" t="s">
        <v>40</v>
      </c>
      <c r="G1" s="680" t="s">
        <v>141</v>
      </c>
      <c r="H1" s="680" t="s">
        <v>145</v>
      </c>
    </row>
    <row r="2" spans="1:18" ht="10.199999999999999" customHeight="1" x14ac:dyDescent="0.3">
      <c r="A2" s="101"/>
      <c r="B2" s="319"/>
      <c r="C2" s="319"/>
      <c r="D2" s="38"/>
      <c r="E2" s="38"/>
      <c r="F2" s="38"/>
      <c r="G2" s="38"/>
      <c r="H2" s="38"/>
    </row>
    <row r="3" spans="1:18" s="154" customFormat="1" ht="25.8" customHeight="1" x14ac:dyDescent="0.3">
      <c r="A3" s="152" t="s">
        <v>29</v>
      </c>
      <c r="B3" s="320">
        <v>0</v>
      </c>
      <c r="C3" s="320"/>
      <c r="D3" s="153">
        <f>B23</f>
        <v>80000</v>
      </c>
      <c r="E3" s="153">
        <f t="shared" ref="E3" si="0">D23</f>
        <v>32099.606250450073</v>
      </c>
      <c r="F3" s="153">
        <f t="shared" ref="F3" si="1">E23</f>
        <v>98368.939248199807</v>
      </c>
      <c r="G3" s="153">
        <f t="shared" ref="G3" si="2">F23</f>
        <v>382859.30819950945</v>
      </c>
      <c r="H3" s="153">
        <f t="shared" ref="H3" si="3">G23</f>
        <v>994598.75864897366</v>
      </c>
    </row>
    <row r="4" spans="1:18" ht="18.600000000000001" customHeight="1" x14ac:dyDescent="0.3">
      <c r="A4" s="101"/>
      <c r="B4" s="319"/>
      <c r="C4" s="319"/>
      <c r="D4" s="38"/>
      <c r="E4" s="38"/>
      <c r="F4" s="38"/>
      <c r="G4" s="38"/>
      <c r="H4" s="38"/>
    </row>
    <row r="5" spans="1:18" s="39" customFormat="1" ht="25.8" customHeight="1" x14ac:dyDescent="0.3">
      <c r="A5" s="67" t="s">
        <v>30</v>
      </c>
      <c r="B5" s="109"/>
      <c r="C5" s="109"/>
      <c r="D5" s="151" t="s">
        <v>38</v>
      </c>
      <c r="E5" s="151" t="s">
        <v>39</v>
      </c>
      <c r="F5" s="151" t="s">
        <v>40</v>
      </c>
      <c r="G5" s="151" t="s">
        <v>141</v>
      </c>
      <c r="H5" s="151" t="s">
        <v>145</v>
      </c>
      <c r="I5" s="35"/>
      <c r="J5" s="35"/>
      <c r="K5" s="35"/>
      <c r="L5" s="35"/>
      <c r="M5" s="35"/>
      <c r="N5" s="35"/>
      <c r="O5" s="35"/>
      <c r="P5" s="35"/>
      <c r="Q5" s="106"/>
      <c r="R5" s="107"/>
    </row>
    <row r="6" spans="1:18" s="39" customFormat="1" ht="19.8" customHeight="1" x14ac:dyDescent="0.3">
      <c r="A6" s="38" t="str">
        <f>'Cash flow 1st yr'!A6</f>
        <v>Owner's funds</v>
      </c>
      <c r="B6" s="676">
        <f>'Cash flow 1st yr'!B6</f>
        <v>12638.788</v>
      </c>
      <c r="C6" s="40"/>
      <c r="D6" s="40">
        <v>0</v>
      </c>
      <c r="E6" s="40">
        <v>0</v>
      </c>
      <c r="F6" s="40">
        <v>0</v>
      </c>
      <c r="G6" s="40">
        <v>0</v>
      </c>
      <c r="H6" s="40">
        <v>0</v>
      </c>
      <c r="I6" s="35"/>
      <c r="J6" s="35"/>
      <c r="K6" s="35"/>
      <c r="L6" s="35"/>
      <c r="M6" s="35"/>
      <c r="N6" s="35"/>
      <c r="O6" s="35"/>
      <c r="P6" s="35"/>
      <c r="Q6" s="106"/>
      <c r="R6" s="107"/>
    </row>
    <row r="7" spans="1:18" s="39" customFormat="1" ht="19.8" customHeight="1" x14ac:dyDescent="0.3">
      <c r="A7" s="38" t="str">
        <f>'Cash flow 1st yr'!A7</f>
        <v xml:space="preserve">Sales </v>
      </c>
      <c r="B7" s="99"/>
      <c r="C7" s="38"/>
      <c r="D7" s="40">
        <f>'Cash flow 1st yr'!Q7</f>
        <v>70235.676207911645</v>
      </c>
      <c r="E7" s="40">
        <f>'Sales 5yrs'!J7</f>
        <v>181470.69210072068</v>
      </c>
      <c r="F7" s="40">
        <f>'Sales 5yrs'!O7</f>
        <v>401781.21195178351</v>
      </c>
      <c r="G7" s="40">
        <f>'Sales 5yrs'!T7</f>
        <v>767197.71755927219</v>
      </c>
      <c r="H7" s="40">
        <f>'Sales 5yrs'!Y7</f>
        <v>1312643.2581007706</v>
      </c>
      <c r="I7" s="35"/>
      <c r="J7" s="35"/>
      <c r="K7" s="35"/>
      <c r="L7" s="35"/>
      <c r="M7" s="35"/>
      <c r="N7" s="35"/>
      <c r="O7" s="35"/>
      <c r="P7" s="35"/>
      <c r="Q7" s="106"/>
      <c r="R7" s="107"/>
    </row>
    <row r="8" spans="1:18" s="39" customFormat="1" ht="19.8" customHeight="1" x14ac:dyDescent="0.3">
      <c r="A8" s="99" t="s">
        <v>280</v>
      </c>
      <c r="B8" s="676">
        <v>0</v>
      </c>
      <c r="C8" s="38"/>
      <c r="D8" s="40">
        <f>'Cash flow 1st yr'!Q8</f>
        <v>0</v>
      </c>
      <c r="E8" s="40">
        <f>'VAT next yrs'!D18</f>
        <v>14434.539618618999</v>
      </c>
      <c r="F8" s="40">
        <f>'VAT next yrs'!E18</f>
        <v>57672.671484505248</v>
      </c>
      <c r="G8" s="40">
        <f>'VAT next yrs'!F18</f>
        <v>129898.53588245151</v>
      </c>
      <c r="H8" s="40">
        <f>'VAT next yrs'!G18</f>
        <v>238131.38391091162</v>
      </c>
      <c r="I8" s="35"/>
      <c r="J8" s="35"/>
      <c r="K8" s="35"/>
      <c r="L8" s="35"/>
      <c r="M8" s="35"/>
      <c r="N8" s="35"/>
      <c r="O8" s="35"/>
      <c r="P8" s="35"/>
      <c r="Q8" s="106"/>
      <c r="R8" s="107"/>
    </row>
    <row r="9" spans="1:18" s="39" customFormat="1" ht="19.8" customHeight="1" x14ac:dyDescent="0.3">
      <c r="A9" s="38" t="str">
        <f>'Cash flow 1st yr'!A9</f>
        <v>Investor's funds</v>
      </c>
      <c r="B9" s="676">
        <f>'Cash flow 1st yr'!B9</f>
        <v>80000</v>
      </c>
      <c r="C9" s="40"/>
      <c r="D9" s="40">
        <f>'Cash flow 1st yr'!Q9</f>
        <v>0</v>
      </c>
      <c r="E9" s="40">
        <v>0</v>
      </c>
      <c r="F9" s="40">
        <v>0</v>
      </c>
      <c r="G9" s="40">
        <v>0</v>
      </c>
      <c r="H9" s="40">
        <v>0</v>
      </c>
      <c r="I9" s="35"/>
      <c r="J9" s="35"/>
      <c r="K9" s="35"/>
      <c r="L9" s="35"/>
      <c r="M9" s="35"/>
      <c r="N9" s="35"/>
      <c r="O9" s="35"/>
      <c r="P9" s="35"/>
      <c r="Q9" s="106"/>
      <c r="R9" s="107"/>
    </row>
    <row r="10" spans="1:18" s="39" customFormat="1" ht="19.8" customHeight="1" x14ac:dyDescent="0.3">
      <c r="A10" s="38" t="s">
        <v>278</v>
      </c>
      <c r="B10" s="99"/>
      <c r="C10" s="38"/>
      <c r="D10" s="40">
        <v>0</v>
      </c>
      <c r="E10" s="40">
        <v>0</v>
      </c>
      <c r="F10" s="40">
        <v>0</v>
      </c>
      <c r="G10" s="40">
        <v>0</v>
      </c>
      <c r="H10" s="40">
        <v>0</v>
      </c>
      <c r="I10" s="35"/>
      <c r="J10" s="35"/>
      <c r="K10" s="35"/>
      <c r="L10" s="35"/>
      <c r="M10" s="35"/>
      <c r="N10" s="35"/>
      <c r="O10" s="35"/>
      <c r="P10" s="35"/>
      <c r="Q10" s="106"/>
      <c r="R10" s="107"/>
    </row>
    <row r="11" spans="1:18" s="105" customFormat="1" ht="27" customHeight="1" x14ac:dyDescent="0.3">
      <c r="A11" s="679" t="s">
        <v>31</v>
      </c>
      <c r="B11" s="677">
        <f>SUM(B6:B10)</f>
        <v>92638.788</v>
      </c>
      <c r="C11" s="320"/>
      <c r="D11" s="108">
        <f>SUM(D6:D10)</f>
        <v>70235.676207911645</v>
      </c>
      <c r="E11" s="108">
        <f>SUM(E6:E10)</f>
        <v>195905.23171933967</v>
      </c>
      <c r="F11" s="108">
        <f>SUM(F6:F10)</f>
        <v>459453.88343628874</v>
      </c>
      <c r="G11" s="108">
        <f>SUM(G6:G10)</f>
        <v>897096.25344172376</v>
      </c>
      <c r="H11" s="108">
        <f>SUM(H6:H10)</f>
        <v>1550774.6420116823</v>
      </c>
      <c r="I11" s="103"/>
      <c r="J11" s="103"/>
      <c r="K11" s="103"/>
      <c r="L11" s="103"/>
      <c r="M11" s="103"/>
      <c r="N11" s="103"/>
      <c r="O11" s="103"/>
      <c r="P11" s="103"/>
      <c r="Q11" s="102"/>
      <c r="R11" s="104"/>
    </row>
    <row r="12" spans="1:18" s="39" customFormat="1" ht="19.8" customHeight="1" x14ac:dyDescent="0.3">
      <c r="A12" s="109"/>
      <c r="B12" s="129"/>
      <c r="C12" s="109"/>
      <c r="D12" s="109"/>
      <c r="E12" s="110"/>
      <c r="F12" s="110"/>
      <c r="G12" s="110"/>
      <c r="H12" s="110"/>
      <c r="I12" s="35"/>
      <c r="J12" s="35"/>
      <c r="K12" s="35"/>
      <c r="L12" s="35"/>
      <c r="M12" s="35"/>
      <c r="N12" s="35"/>
      <c r="O12" s="35"/>
      <c r="P12" s="35"/>
      <c r="Q12" s="106"/>
      <c r="R12" s="107"/>
    </row>
    <row r="13" spans="1:18" ht="24" customHeight="1" x14ac:dyDescent="0.3">
      <c r="A13" s="109" t="s">
        <v>32</v>
      </c>
      <c r="B13" s="678" t="s">
        <v>63</v>
      </c>
      <c r="C13" s="151"/>
      <c r="D13" s="151" t="s">
        <v>38</v>
      </c>
      <c r="E13" s="151" t="s">
        <v>39</v>
      </c>
      <c r="F13" s="151" t="s">
        <v>40</v>
      </c>
      <c r="G13" s="151" t="s">
        <v>141</v>
      </c>
      <c r="H13" s="151" t="s">
        <v>145</v>
      </c>
    </row>
    <row r="14" spans="1:18" ht="19.2" customHeight="1" x14ac:dyDescent="0.3">
      <c r="A14" s="38" t="str">
        <f>'Cash flow 1st yr'!A13</f>
        <v>Investments</v>
      </c>
      <c r="B14" s="676">
        <f>'Cash flow 1st yr'!B13</f>
        <v>0</v>
      </c>
      <c r="C14" s="40"/>
      <c r="D14" s="112">
        <v>0</v>
      </c>
      <c r="E14" s="112">
        <f>-Invests!B4</f>
        <v>-8000</v>
      </c>
      <c r="F14" s="112">
        <v>0</v>
      </c>
      <c r="G14" s="112">
        <v>0</v>
      </c>
      <c r="H14" s="112">
        <v>0</v>
      </c>
    </row>
    <row r="15" spans="1:18" ht="19.2" customHeight="1" x14ac:dyDescent="0.3">
      <c r="A15" s="38" t="str">
        <f>'Cash flow 1st yr'!A14</f>
        <v>Expenses</v>
      </c>
      <c r="B15" s="676">
        <f>'Cash flow 1st yr'!B14</f>
        <v>-12638.788</v>
      </c>
      <c r="C15" s="38"/>
      <c r="D15" s="40">
        <f>'Cash flow 1st yr'!Q14</f>
        <v>-117800.66995746156</v>
      </c>
      <c r="E15" s="40">
        <f>-'Expenses 5yrs'!D32</f>
        <v>-108769.73900762569</v>
      </c>
      <c r="F15" s="40">
        <f>-'Expenses 5yrs'!E32</f>
        <v>-112585.85290425729</v>
      </c>
      <c r="G15" s="40">
        <f>-'Expenses 5yrs'!F32</f>
        <v>-116569.35592888972</v>
      </c>
      <c r="H15" s="40">
        <f>-'Expenses 5yrs'!G32</f>
        <v>-120615.00226782646</v>
      </c>
    </row>
    <row r="16" spans="1:18" ht="19.2" customHeight="1" x14ac:dyDescent="0.3">
      <c r="A16" s="99" t="s">
        <v>275</v>
      </c>
      <c r="B16" s="676">
        <v>0</v>
      </c>
      <c r="C16" s="38"/>
      <c r="D16" s="40">
        <f>'Cash flow 1st yr'!Q15</f>
        <v>0</v>
      </c>
      <c r="E16" s="40">
        <f>-('VAT next yrs'!D18+'VAT next yrs'!C20-'VAT next yrs'!D20)</f>
        <v>-10825.90471396425</v>
      </c>
      <c r="F16" s="40">
        <f>-('VAT next yrs'!E18+'VAT next yrs'!D20-'VAT next yrs'!E20)</f>
        <v>-46863.13851803368</v>
      </c>
      <c r="G16" s="40">
        <f>-('VAT next yrs'!F18+'VAT next yrs'!E20-'VAT next yrs'!F20)</f>
        <v>-111842.06978296496</v>
      </c>
      <c r="H16" s="40">
        <f>-('VAT next yrs'!G18+'VAT next yrs'!F20-'VAT next yrs'!G20)</f>
        <v>-211073.17190379661</v>
      </c>
    </row>
    <row r="17" spans="1:8" ht="19.2" customHeight="1" x14ac:dyDescent="0.3">
      <c r="A17" s="38" t="str">
        <f>'Cash flow 1st yr'!A16</f>
        <v>Refunds to customers</v>
      </c>
      <c r="B17" s="99"/>
      <c r="C17" s="38"/>
      <c r="D17" s="40">
        <f>'Cash flow 1st yr'!Q16</f>
        <v>-335.4</v>
      </c>
      <c r="E17" s="40">
        <f>-'Expenses 5yrs'!D34</f>
        <v>-528.255</v>
      </c>
      <c r="F17" s="40">
        <f>-'Expenses 5yrs'!E34</f>
        <v>-832.00162499999999</v>
      </c>
      <c r="G17" s="40">
        <f>-'Expenses 5yrs'!F34</f>
        <v>-1135.6822181250002</v>
      </c>
      <c r="H17" s="40">
        <f>-'Expenses 5yrs'!G34</f>
        <v>-1371.3362783859377</v>
      </c>
    </row>
    <row r="18" spans="1:8" ht="19.2" customHeight="1" x14ac:dyDescent="0.3">
      <c r="A18" s="68" t="s">
        <v>279</v>
      </c>
      <c r="B18" s="38"/>
      <c r="C18" s="38"/>
      <c r="D18" s="40">
        <v>0</v>
      </c>
      <c r="E18" s="40">
        <f>-'Expenses 5yrs'!C39</f>
        <v>-1512</v>
      </c>
      <c r="F18" s="40">
        <f>-'Expenses 5yrs'!D39</f>
        <v>-14682.521437688049</v>
      </c>
      <c r="G18" s="40">
        <f>-'Expenses 5yrs'!E39</f>
        <v>-55809.695062279985</v>
      </c>
      <c r="H18" s="40">
        <f>-'Expenses 5yrs'!F39</f>
        <v>-124477.25252640893</v>
      </c>
    </row>
    <row r="19" spans="1:8" ht="19.2" customHeight="1" x14ac:dyDescent="0.3">
      <c r="A19" s="68" t="s">
        <v>121</v>
      </c>
      <c r="B19" s="38"/>
      <c r="C19" s="38"/>
      <c r="D19" s="40">
        <v>0</v>
      </c>
      <c r="E19" s="40">
        <v>0</v>
      </c>
      <c r="F19" s="40">
        <v>0</v>
      </c>
      <c r="G19" s="40">
        <v>0</v>
      </c>
      <c r="H19" s="40">
        <v>0</v>
      </c>
    </row>
    <row r="20" spans="1:8" s="114" customFormat="1" ht="24.6" customHeight="1" x14ac:dyDescent="0.3">
      <c r="A20" s="111" t="s">
        <v>43</v>
      </c>
      <c r="B20" s="320">
        <f t="shared" ref="B20" si="4">SUM(B14:B19)</f>
        <v>-12638.788</v>
      </c>
      <c r="C20" s="320"/>
      <c r="D20" s="113">
        <f>SUM(D14:D19)</f>
        <v>-118136.06995746156</v>
      </c>
      <c r="E20" s="113">
        <f t="shared" ref="E20:F20" si="5">SUM(E14:E19)</f>
        <v>-129635.89872158994</v>
      </c>
      <c r="F20" s="113">
        <f t="shared" si="5"/>
        <v>-174963.51448497904</v>
      </c>
      <c r="G20" s="113">
        <f t="shared" ref="G20:H20" si="6">SUM(G14:G19)</f>
        <v>-285356.80299225968</v>
      </c>
      <c r="H20" s="113">
        <f t="shared" si="6"/>
        <v>-457536.76297641796</v>
      </c>
    </row>
    <row r="21" spans="1:8" ht="12.6" customHeight="1" x14ac:dyDescent="0.3">
      <c r="A21" s="68"/>
      <c r="B21" s="38"/>
      <c r="C21" s="38"/>
      <c r="D21" s="40"/>
      <c r="E21" s="40"/>
      <c r="F21" s="40"/>
      <c r="G21" s="40"/>
      <c r="H21" s="40"/>
    </row>
    <row r="22" spans="1:8" ht="28.2" customHeight="1" x14ac:dyDescent="0.3">
      <c r="A22" s="68" t="s">
        <v>33</v>
      </c>
      <c r="B22" s="40">
        <f t="shared" ref="B22:H22" si="7">B11+B20</f>
        <v>80000</v>
      </c>
      <c r="C22" s="40"/>
      <c r="D22" s="40">
        <f t="shared" si="7"/>
        <v>-47900.393749549912</v>
      </c>
      <c r="E22" s="40">
        <f t="shared" si="7"/>
        <v>66269.332997749734</v>
      </c>
      <c r="F22" s="40">
        <f t="shared" si="7"/>
        <v>284490.36895130971</v>
      </c>
      <c r="G22" s="40">
        <f t="shared" si="7"/>
        <v>611739.45044946414</v>
      </c>
      <c r="H22" s="40">
        <f t="shared" si="7"/>
        <v>1093237.8790352643</v>
      </c>
    </row>
    <row r="23" spans="1:8" s="117" customFormat="1" ht="31.8" customHeight="1" x14ac:dyDescent="0.3">
      <c r="A23" s="115" t="s">
        <v>34</v>
      </c>
      <c r="B23" s="320">
        <f>B3+B11+B20</f>
        <v>80000</v>
      </c>
      <c r="C23" s="320"/>
      <c r="D23" s="116">
        <f>D3+D11+D20</f>
        <v>32099.606250450073</v>
      </c>
      <c r="E23" s="116">
        <f>E3+E11+E20</f>
        <v>98368.939248199807</v>
      </c>
      <c r="F23" s="116">
        <f>F3+F11+F20</f>
        <v>382859.30819950945</v>
      </c>
      <c r="G23" s="116">
        <f>G3+G11+G20</f>
        <v>994598.75864897366</v>
      </c>
      <c r="H23" s="116">
        <f>H3+H11+H20</f>
        <v>2087836.6376842379</v>
      </c>
    </row>
    <row r="24" spans="1:8" ht="30.6" customHeight="1" x14ac:dyDescent="0.3">
      <c r="A24" s="68" t="s">
        <v>35</v>
      </c>
      <c r="B24" s="38"/>
      <c r="C24" s="38"/>
      <c r="D24" s="40">
        <f>IF(D23&lt;D26,D26-D23,0)</f>
        <v>0</v>
      </c>
      <c r="E24" s="40">
        <f>IF(E23&lt;E26,E26-E23,0)</f>
        <v>0</v>
      </c>
      <c r="F24" s="40">
        <f>IF(F23&lt;F26,F26-F23,0)</f>
        <v>0</v>
      </c>
      <c r="G24" s="40">
        <f>IF(G23&lt;G26,G26-G23,0)</f>
        <v>0</v>
      </c>
      <c r="H24" s="40">
        <f>IF(H23&lt;H26,H26-H23,0)</f>
        <v>0</v>
      </c>
    </row>
    <row r="25" spans="1:8" ht="18.600000000000001" customHeight="1" x14ac:dyDescent="0.3">
      <c r="A25" s="68"/>
      <c r="B25" s="38"/>
      <c r="C25" s="38"/>
      <c r="D25" s="40"/>
      <c r="E25" s="40"/>
      <c r="F25" s="40"/>
      <c r="G25" s="40"/>
      <c r="H25" s="40"/>
    </row>
    <row r="26" spans="1:8" ht="18.600000000000001" customHeight="1" x14ac:dyDescent="0.3">
      <c r="A26" s="681" t="s">
        <v>36</v>
      </c>
      <c r="B26" s="682"/>
      <c r="C26" s="682"/>
      <c r="D26" s="683">
        <v>300</v>
      </c>
      <c r="E26" s="683">
        <f>D26</f>
        <v>300</v>
      </c>
      <c r="F26" s="683">
        <f>E26</f>
        <v>300</v>
      </c>
      <c r="G26" s="683">
        <f>F26</f>
        <v>300</v>
      </c>
      <c r="H26" s="683">
        <f>G26</f>
        <v>300</v>
      </c>
    </row>
    <row r="27" spans="1:8" ht="18.600000000000001" customHeight="1" x14ac:dyDescent="0.3">
      <c r="D27" s="684"/>
      <c r="E27" s="684"/>
      <c r="F27" s="684"/>
      <c r="G27" s="684"/>
      <c r="H27" s="684"/>
    </row>
    <row r="28" spans="1:8" ht="18.600000000000001" customHeight="1" x14ac:dyDescent="0.3">
      <c r="D28" s="684"/>
      <c r="E28" s="684"/>
      <c r="F28" s="684"/>
      <c r="G28" s="684"/>
      <c r="H28" s="684"/>
    </row>
    <row r="29" spans="1:8" ht="18.600000000000001" customHeight="1" x14ac:dyDescent="0.3">
      <c r="A29" s="685"/>
      <c r="B29" s="685"/>
      <c r="C29" s="685"/>
      <c r="D29" s="684"/>
      <c r="E29" s="684"/>
      <c r="F29" s="684"/>
      <c r="G29" s="684"/>
      <c r="H29" s="684"/>
    </row>
    <row r="30" spans="1:8" ht="18.600000000000001" customHeight="1" x14ac:dyDescent="0.3">
      <c r="D30" s="684"/>
      <c r="E30" s="684"/>
      <c r="F30" s="684"/>
      <c r="G30" s="684"/>
      <c r="H30" s="684"/>
    </row>
    <row r="31" spans="1:8" ht="18.600000000000001" customHeight="1" x14ac:dyDescent="0.3">
      <c r="D31" s="684"/>
      <c r="E31" s="684"/>
      <c r="F31" s="684"/>
      <c r="G31" s="684"/>
      <c r="H31" s="684"/>
    </row>
    <row r="32" spans="1:8" ht="18.600000000000001" customHeight="1" x14ac:dyDescent="0.3">
      <c r="D32" s="684"/>
      <c r="E32" s="684"/>
      <c r="F32" s="684"/>
      <c r="G32" s="684"/>
      <c r="H32" s="684"/>
    </row>
    <row r="33" spans="4:8" ht="18.600000000000001" customHeight="1" x14ac:dyDescent="0.3">
      <c r="D33" s="684"/>
      <c r="E33" s="684"/>
      <c r="F33" s="684"/>
      <c r="G33" s="684"/>
      <c r="H33" s="684"/>
    </row>
    <row r="34" spans="4:8" ht="18.600000000000001" customHeight="1" x14ac:dyDescent="0.3">
      <c r="D34" s="684"/>
      <c r="E34" s="684"/>
      <c r="F34" s="684"/>
      <c r="G34" s="684"/>
      <c r="H34" s="684"/>
    </row>
    <row r="35" spans="4:8" x14ac:dyDescent="0.3">
      <c r="D35" s="684"/>
      <c r="E35" s="684"/>
      <c r="F35" s="684"/>
      <c r="G35" s="684"/>
      <c r="H35" s="684"/>
    </row>
    <row r="36" spans="4:8" x14ac:dyDescent="0.3">
      <c r="D36" s="684"/>
      <c r="E36" s="684"/>
      <c r="F36" s="684"/>
      <c r="G36" s="684"/>
      <c r="H36" s="68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91731-EBFE-4153-AB51-4E61578F3A29}">
  <dimension ref="A1:AS35"/>
  <sheetViews>
    <sheetView workbookViewId="0">
      <pane xSplit="2" topLeftCell="K1" activePane="topRight" state="frozen"/>
      <selection activeCell="A5" sqref="A5"/>
      <selection pane="topRight" activeCell="Z13" sqref="Z13"/>
    </sheetView>
  </sheetViews>
  <sheetFormatPr defaultRowHeight="12.6" x14ac:dyDescent="0.3"/>
  <cols>
    <col min="1" max="1" width="23.21875" style="16" customWidth="1"/>
    <col min="2" max="2" width="9.21875" style="16" customWidth="1"/>
    <col min="3" max="3" width="6.33203125" style="16" customWidth="1"/>
    <col min="4" max="4" width="5.33203125" style="29" customWidth="1"/>
    <col min="5" max="5" width="8.6640625" style="16" customWidth="1"/>
    <col min="6" max="6" width="6.33203125" style="16" customWidth="1"/>
    <col min="7" max="7" width="5.33203125" style="29" customWidth="1"/>
    <col min="8" max="8" width="8.6640625" style="16" customWidth="1"/>
    <col min="9" max="9" width="6.33203125" style="16" customWidth="1"/>
    <col min="10" max="10" width="5.88671875" style="29" customWidth="1"/>
    <col min="11" max="11" width="8.6640625" style="16" customWidth="1"/>
    <col min="12" max="12" width="6.33203125" style="16" customWidth="1"/>
    <col min="13" max="13" width="5.33203125" style="29" customWidth="1"/>
    <col min="14" max="14" width="8.6640625" style="16" customWidth="1"/>
    <col min="15" max="15" width="6.33203125" style="16" customWidth="1"/>
    <col min="16" max="16" width="5.33203125" style="29" customWidth="1"/>
    <col min="17" max="17" width="8.6640625" style="16" customWidth="1"/>
    <col min="18" max="18" width="6.33203125" style="16" customWidth="1"/>
    <col min="19" max="19" width="5.33203125" style="29" customWidth="1"/>
    <col min="20" max="20" width="8.6640625" style="16" customWidth="1"/>
    <col min="21" max="21" width="6.33203125" style="16" customWidth="1"/>
    <col min="22" max="22" width="5.33203125" style="29" customWidth="1"/>
    <col min="23" max="23" width="8.6640625" style="16" customWidth="1"/>
    <col min="24" max="24" width="6.33203125" style="16" customWidth="1"/>
    <col min="25" max="25" width="5.33203125" style="29" customWidth="1"/>
    <col min="26" max="26" width="8.6640625" style="16" customWidth="1"/>
    <col min="27" max="27" width="6.33203125" style="16" customWidth="1"/>
    <col min="28" max="28" width="5.33203125" style="29" customWidth="1"/>
    <col min="29" max="29" width="8.6640625" style="16" customWidth="1"/>
    <col min="30" max="30" width="6.33203125" style="16" customWidth="1"/>
    <col min="31" max="31" width="5.33203125" style="29" customWidth="1"/>
    <col min="32" max="32" width="8.6640625" style="16" customWidth="1"/>
    <col min="33" max="33" width="6.33203125" style="16" customWidth="1"/>
    <col min="34" max="34" width="6.6640625" style="29" customWidth="1"/>
    <col min="35" max="35" width="8.6640625" style="16" customWidth="1"/>
    <col min="36" max="36" width="6.33203125" style="16" customWidth="1"/>
    <col min="37" max="37" width="6.21875" style="29" customWidth="1"/>
    <col min="38" max="38" width="8.6640625" style="16" customWidth="1"/>
    <col min="39" max="39" width="4.44140625" style="16" customWidth="1"/>
    <col min="40" max="41" width="8.77734375" style="16" customWidth="1"/>
    <col min="42" max="42" width="11.88671875" style="16" customWidth="1"/>
    <col min="43" max="43" width="21.33203125" style="16" customWidth="1"/>
    <col min="44" max="44" width="10.77734375" style="16" customWidth="1"/>
    <col min="45" max="45" width="8.88671875" style="170"/>
    <col min="46" max="16384" width="8.88671875" style="16"/>
  </cols>
  <sheetData>
    <row r="1" spans="1:45" s="174" customFormat="1" ht="26.4" customHeight="1" x14ac:dyDescent="0.3">
      <c r="A1" s="237" t="s">
        <v>7</v>
      </c>
      <c r="B1" s="236" t="s">
        <v>94</v>
      </c>
      <c r="C1" s="990" t="s">
        <v>8</v>
      </c>
      <c r="D1" s="991"/>
      <c r="E1" s="992"/>
      <c r="F1" s="990" t="s">
        <v>9</v>
      </c>
      <c r="G1" s="991"/>
      <c r="H1" s="992"/>
      <c r="I1" s="990" t="s">
        <v>10</v>
      </c>
      <c r="J1" s="991"/>
      <c r="K1" s="992"/>
      <c r="L1" s="990" t="s">
        <v>11</v>
      </c>
      <c r="M1" s="991"/>
      <c r="N1" s="992"/>
      <c r="O1" s="990" t="s">
        <v>12</v>
      </c>
      <c r="P1" s="991"/>
      <c r="Q1" s="992"/>
      <c r="R1" s="990" t="s">
        <v>13</v>
      </c>
      <c r="S1" s="991"/>
      <c r="T1" s="992"/>
      <c r="U1" s="990" t="s">
        <v>14</v>
      </c>
      <c r="V1" s="991"/>
      <c r="W1" s="992"/>
      <c r="X1" s="990" t="s">
        <v>15</v>
      </c>
      <c r="Y1" s="991"/>
      <c r="Z1" s="992"/>
      <c r="AA1" s="990" t="s">
        <v>16</v>
      </c>
      <c r="AB1" s="991"/>
      <c r="AC1" s="992"/>
      <c r="AD1" s="990" t="s">
        <v>17</v>
      </c>
      <c r="AE1" s="991"/>
      <c r="AF1" s="992"/>
      <c r="AG1" s="990" t="s">
        <v>18</v>
      </c>
      <c r="AH1" s="991"/>
      <c r="AI1" s="992"/>
      <c r="AJ1" s="990" t="s">
        <v>19</v>
      </c>
      <c r="AK1" s="991"/>
      <c r="AL1" s="992"/>
      <c r="AM1" s="235"/>
      <c r="AN1" s="991"/>
      <c r="AO1" s="992"/>
      <c r="AP1" s="236"/>
      <c r="AQ1" s="173"/>
      <c r="AS1" s="238"/>
    </row>
    <row r="2" spans="1:45" s="21" customFormat="1" ht="26.4" customHeight="1" x14ac:dyDescent="0.3">
      <c r="A2" s="239"/>
      <c r="B2" s="240"/>
      <c r="C2" s="239" t="s">
        <v>93</v>
      </c>
      <c r="D2" s="21" t="s">
        <v>99</v>
      </c>
      <c r="E2" s="240" t="s">
        <v>21</v>
      </c>
      <c r="F2" s="239" t="s">
        <v>93</v>
      </c>
      <c r="G2" s="21" t="s">
        <v>99</v>
      </c>
      <c r="H2" s="240" t="s">
        <v>21</v>
      </c>
      <c r="I2" s="239" t="s">
        <v>93</v>
      </c>
      <c r="J2" s="21" t="s">
        <v>99</v>
      </c>
      <c r="K2" s="240" t="s">
        <v>21</v>
      </c>
      <c r="L2" s="239" t="s">
        <v>93</v>
      </c>
      <c r="M2" s="21" t="s">
        <v>99</v>
      </c>
      <c r="N2" s="240" t="s">
        <v>21</v>
      </c>
      <c r="O2" s="239" t="s">
        <v>93</v>
      </c>
      <c r="P2" s="21" t="s">
        <v>99</v>
      </c>
      <c r="Q2" s="240" t="s">
        <v>21</v>
      </c>
      <c r="R2" s="239" t="s">
        <v>93</v>
      </c>
      <c r="S2" s="21" t="s">
        <v>99</v>
      </c>
      <c r="T2" s="240" t="s">
        <v>21</v>
      </c>
      <c r="U2" s="239" t="s">
        <v>93</v>
      </c>
      <c r="V2" s="21" t="s">
        <v>99</v>
      </c>
      <c r="W2" s="240" t="s">
        <v>21</v>
      </c>
      <c r="X2" s="239" t="s">
        <v>93</v>
      </c>
      <c r="Y2" s="21" t="s">
        <v>99</v>
      </c>
      <c r="Z2" s="240" t="s">
        <v>21</v>
      </c>
      <c r="AA2" s="239" t="s">
        <v>93</v>
      </c>
      <c r="AB2" s="21" t="s">
        <v>99</v>
      </c>
      <c r="AC2" s="240" t="s">
        <v>21</v>
      </c>
      <c r="AD2" s="239" t="s">
        <v>93</v>
      </c>
      <c r="AE2" s="21" t="s">
        <v>99</v>
      </c>
      <c r="AF2" s="240" t="s">
        <v>21</v>
      </c>
      <c r="AG2" s="239" t="s">
        <v>93</v>
      </c>
      <c r="AH2" s="21" t="s">
        <v>99</v>
      </c>
      <c r="AI2" s="240" t="s">
        <v>21</v>
      </c>
      <c r="AJ2" s="239" t="s">
        <v>93</v>
      </c>
      <c r="AK2" s="21" t="s">
        <v>99</v>
      </c>
      <c r="AL2" s="240" t="s">
        <v>21</v>
      </c>
      <c r="AN2" s="241" t="s">
        <v>99</v>
      </c>
      <c r="AO2" s="240" t="s">
        <v>21</v>
      </c>
      <c r="AP2" s="240"/>
      <c r="AS2" s="242"/>
    </row>
    <row r="3" spans="1:45" s="14" customFormat="1" ht="26.4" customHeight="1" x14ac:dyDescent="0.3">
      <c r="A3" s="17" t="s">
        <v>95</v>
      </c>
      <c r="B3" s="243">
        <v>0</v>
      </c>
      <c r="C3" s="244"/>
      <c r="D3" s="245">
        <f>'Users 1st year'!E3</f>
        <v>30</v>
      </c>
      <c r="E3" s="243">
        <f>$B3*D3</f>
        <v>0</v>
      </c>
      <c r="F3" s="244"/>
      <c r="G3" s="245">
        <f>'Users 1st year'!I3</f>
        <v>60.7</v>
      </c>
      <c r="H3" s="243">
        <f>$B3*G3</f>
        <v>0</v>
      </c>
      <c r="I3" s="244"/>
      <c r="J3" s="245">
        <f>'Users 1st year'!M3</f>
        <v>584.79600000000005</v>
      </c>
      <c r="K3" s="243">
        <f>$B3*J3</f>
        <v>0</v>
      </c>
      <c r="L3" s="244"/>
      <c r="M3" s="245">
        <f>'Users 1st year'!Q3</f>
        <v>1119.3500800000002</v>
      </c>
      <c r="N3" s="243">
        <f>$B3*M3</f>
        <v>0</v>
      </c>
      <c r="O3" s="244"/>
      <c r="P3" s="245">
        <f>'Users 1st year'!U3</f>
        <v>1723.3730784000002</v>
      </c>
      <c r="Q3" s="243">
        <f>$B3*P3</f>
        <v>0</v>
      </c>
      <c r="R3" s="244"/>
      <c r="S3" s="245">
        <f>'Users 1st year'!Y3</f>
        <v>2196.1156168320003</v>
      </c>
      <c r="T3" s="243">
        <f>$B3*S3</f>
        <v>0</v>
      </c>
      <c r="U3" s="244"/>
      <c r="V3" s="245">
        <f>'Users 1st year'!AC3</f>
        <v>2673.2033044953605</v>
      </c>
      <c r="W3" s="243">
        <f>$B3*V3</f>
        <v>0</v>
      </c>
      <c r="X3" s="244"/>
      <c r="Y3" s="245">
        <f>'Users 1st year'!AG3</f>
        <v>3268.8992384054532</v>
      </c>
      <c r="Z3" s="243">
        <f>$B3*Y3</f>
        <v>0</v>
      </c>
      <c r="AA3" s="244"/>
      <c r="AB3" s="245">
        <f>'Users 1st year'!AK3</f>
        <v>3884.9612536373443</v>
      </c>
      <c r="AC3" s="243">
        <f>$B3*AB3</f>
        <v>0</v>
      </c>
      <c r="AD3" s="244"/>
      <c r="AE3" s="245">
        <f>'Users 1st year'!AO3</f>
        <v>4496.0120285645971</v>
      </c>
      <c r="AF3" s="243">
        <f>$B3*AE3</f>
        <v>0</v>
      </c>
      <c r="AG3" s="244"/>
      <c r="AH3" s="245">
        <f>'Users 1st year'!AS3</f>
        <v>5111.9117879933056</v>
      </c>
      <c r="AI3" s="243">
        <f>$B3*AH3</f>
        <v>0</v>
      </c>
      <c r="AJ3" s="244"/>
      <c r="AK3" s="245">
        <f>'Users 1st year'!AW3</f>
        <v>5710.6635522334391</v>
      </c>
      <c r="AL3" s="243">
        <f>$B3*AK3</f>
        <v>0</v>
      </c>
      <c r="AM3" s="246"/>
      <c r="AN3" s="247">
        <f>D3+G3+J3+M3+P3+S3+V3+Y3+AB3+AE3+AH3+AK3</f>
        <v>30859.985940561499</v>
      </c>
      <c r="AO3" s="248">
        <f>E3+H3+K3+N3+Q3+T3+W3+Z3+AC3+AF3+AI3+AL3</f>
        <v>0</v>
      </c>
      <c r="AP3" s="248"/>
      <c r="AQ3" s="246"/>
      <c r="AR3" s="23"/>
      <c r="AS3" s="171"/>
    </row>
    <row r="4" spans="1:45" s="14" customFormat="1" ht="26.4" customHeight="1" x14ac:dyDescent="0.3">
      <c r="A4" s="17" t="s">
        <v>96</v>
      </c>
      <c r="B4" s="249">
        <v>27.95</v>
      </c>
      <c r="C4" s="244"/>
      <c r="D4" s="245">
        <f>'Users 1st year'!E4</f>
        <v>2</v>
      </c>
      <c r="E4" s="243">
        <f t="shared" ref="E4:E5" si="0">$B4*D4</f>
        <v>55.9</v>
      </c>
      <c r="F4" s="244"/>
      <c r="G4" s="245">
        <f>'Users 1st year'!I4</f>
        <v>3.7</v>
      </c>
      <c r="H4" s="243">
        <f t="shared" ref="H4:H5" si="1">$B4*G4</f>
        <v>103.41500000000001</v>
      </c>
      <c r="I4" s="244"/>
      <c r="J4" s="245">
        <f>'Users 1st year'!M4</f>
        <v>48.89</v>
      </c>
      <c r="K4" s="243">
        <f t="shared" ref="K4:K5" si="2">$B4*J4</f>
        <v>1366.4755</v>
      </c>
      <c r="L4" s="244"/>
      <c r="M4" s="245">
        <f>'Users 1st year'!Q4</f>
        <v>89.640799999999999</v>
      </c>
      <c r="N4" s="243">
        <f t="shared" ref="N4:N5" si="3">$B4*M4</f>
        <v>2505.46036</v>
      </c>
      <c r="O4" s="244"/>
      <c r="P4" s="245">
        <f>'Users 1st year'!U4</f>
        <v>127.574192</v>
      </c>
      <c r="Q4" s="243">
        <f t="shared" ref="Q4:Q5" si="4">$B4*P4</f>
        <v>3565.6986663999996</v>
      </c>
      <c r="R4" s="244"/>
      <c r="S4" s="245">
        <f>'Users 1st year'!Y4</f>
        <v>146.555644</v>
      </c>
      <c r="T4" s="243">
        <f t="shared" ref="T4:T5" si="5">$B4*S4</f>
        <v>4096.2302497999999</v>
      </c>
      <c r="U4" s="244"/>
      <c r="V4" s="245">
        <f>'Users 1st year'!AC4</f>
        <v>160.41673299999999</v>
      </c>
      <c r="W4" s="243">
        <f t="shared" ref="W4:W5" si="6">$B4*V4</f>
        <v>4483.6476873499996</v>
      </c>
      <c r="X4" s="244"/>
      <c r="Y4" s="245">
        <f>'Users 1st year'!AG4</f>
        <v>184.31671707999999</v>
      </c>
      <c r="Z4" s="243">
        <f t="shared" ref="Z4:Z5" si="7">$B4*Y4</f>
        <v>5151.6522423859997</v>
      </c>
      <c r="AA4" s="244"/>
      <c r="AB4" s="245">
        <f>'Users 1st year'!AK4</f>
        <v>206.9207049808</v>
      </c>
      <c r="AC4" s="243">
        <f t="shared" ref="AC4:AC5" si="8">$B4*AB4</f>
        <v>5783.4337042133593</v>
      </c>
      <c r="AD4" s="244"/>
      <c r="AE4" s="245">
        <f>'Users 1st year'!AO4</f>
        <v>226.228942835216</v>
      </c>
      <c r="AF4" s="243">
        <f t="shared" ref="AF4:AF5" si="9">$B4*AE4</f>
        <v>6323.0989522442869</v>
      </c>
      <c r="AG4" s="244"/>
      <c r="AH4" s="245">
        <f>'Users 1st year'!AS4</f>
        <v>243.09628598311633</v>
      </c>
      <c r="AI4" s="243">
        <f t="shared" ref="AI4:AI5" si="10">$B4*AH4</f>
        <v>6794.5411932281013</v>
      </c>
      <c r="AJ4" s="244"/>
      <c r="AK4" s="245">
        <f>'Users 1st year'!AW4</f>
        <v>257.43510306683072</v>
      </c>
      <c r="AL4" s="243">
        <f t="shared" ref="AL4:AL5" si="11">$B4*AK4</f>
        <v>7195.3111307179188</v>
      </c>
      <c r="AM4" s="246"/>
      <c r="AN4" s="247">
        <f t="shared" ref="AN4:AN5" si="12">D4+G4+J4+M4+P4+S4+V4+Y4+AB4+AE4+AH4+AK4</f>
        <v>1696.7751229459632</v>
      </c>
      <c r="AO4" s="248">
        <f t="shared" ref="AO4:AO5" si="13">E4+H4+K4+N4+Q4+T4+W4+Z4+AC4+AF4+AI4+AL4</f>
        <v>47424.864686339664</v>
      </c>
      <c r="AP4" s="248"/>
      <c r="AQ4" s="246"/>
      <c r="AR4" s="248">
        <f>AN4*B4</f>
        <v>47424.864686339672</v>
      </c>
      <c r="AS4" s="171"/>
    </row>
    <row r="5" spans="1:45" s="14" customFormat="1" ht="26.4" customHeight="1" x14ac:dyDescent="0.3">
      <c r="A5" s="17" t="s">
        <v>97</v>
      </c>
      <c r="B5" s="249">
        <v>39.950000000000003</v>
      </c>
      <c r="C5" s="244"/>
      <c r="D5" s="245">
        <f>'Users 1st year'!E5</f>
        <v>0</v>
      </c>
      <c r="E5" s="243">
        <f t="shared" si="0"/>
        <v>0</v>
      </c>
      <c r="F5" s="244"/>
      <c r="G5" s="245">
        <f>'Users 1st year'!I5</f>
        <v>0</v>
      </c>
      <c r="H5" s="243">
        <f t="shared" si="1"/>
        <v>0</v>
      </c>
      <c r="I5" s="244"/>
      <c r="J5" s="245">
        <f>'Users 1st year'!M5</f>
        <v>11</v>
      </c>
      <c r="K5" s="243">
        <f t="shared" si="2"/>
        <v>439.45000000000005</v>
      </c>
      <c r="L5" s="244"/>
      <c r="M5" s="245">
        <f>'Users 1st year'!Q5</f>
        <v>21.35</v>
      </c>
      <c r="N5" s="243">
        <f t="shared" si="3"/>
        <v>852.93250000000012</v>
      </c>
      <c r="O5" s="244"/>
      <c r="P5" s="245">
        <f>'Users 1st year'!U5</f>
        <v>30.512500000000003</v>
      </c>
      <c r="Q5" s="243">
        <f t="shared" si="4"/>
        <v>1218.9743750000002</v>
      </c>
      <c r="R5" s="244"/>
      <c r="S5" s="245">
        <f>'Users 1st year'!Y5</f>
        <v>36.229750000000003</v>
      </c>
      <c r="T5" s="243">
        <f t="shared" si="5"/>
        <v>1447.3785125000002</v>
      </c>
      <c r="U5" s="244"/>
      <c r="V5" s="245">
        <f>'Users 1st year'!AC5</f>
        <v>40.469205000000002</v>
      </c>
      <c r="W5" s="243">
        <f t="shared" si="6"/>
        <v>1616.7447397500002</v>
      </c>
      <c r="X5" s="244"/>
      <c r="Y5" s="245">
        <f>'Users 1st year'!AG5</f>
        <v>47.125671950000005</v>
      </c>
      <c r="Z5" s="243">
        <f t="shared" si="7"/>
        <v>1882.6705944025002</v>
      </c>
      <c r="AA5" s="244"/>
      <c r="AB5" s="245">
        <f>'Users 1st year'!AK5</f>
        <v>53.699280840500002</v>
      </c>
      <c r="AC5" s="243">
        <f t="shared" si="8"/>
        <v>2145.2862695779754</v>
      </c>
      <c r="AD5" s="244"/>
      <c r="AE5" s="245">
        <f>'Users 1st year'!AO5</f>
        <v>59.459424672400004</v>
      </c>
      <c r="AF5" s="243">
        <f t="shared" si="9"/>
        <v>2375.4040156623805</v>
      </c>
      <c r="AG5" s="244"/>
      <c r="AH5" s="245">
        <f>'Users 1st year'!AS5</f>
        <v>64.067539737920001</v>
      </c>
      <c r="AI5" s="243">
        <f t="shared" si="10"/>
        <v>2559.4982125299043</v>
      </c>
      <c r="AJ5" s="244"/>
      <c r="AK5" s="245">
        <f>'Users 1st year'!AW5</f>
        <v>68.319707187715196</v>
      </c>
      <c r="AL5" s="243">
        <f t="shared" si="11"/>
        <v>2729.3723021492224</v>
      </c>
      <c r="AM5" s="246"/>
      <c r="AN5" s="247">
        <f t="shared" si="12"/>
        <v>432.23307938853526</v>
      </c>
      <c r="AO5" s="248">
        <f t="shared" si="13"/>
        <v>17267.711521571982</v>
      </c>
      <c r="AP5" s="248"/>
      <c r="AQ5" s="246"/>
      <c r="AR5" s="248">
        <f>AN5*B5</f>
        <v>17267.711521571986</v>
      </c>
      <c r="AS5" s="171"/>
    </row>
    <row r="6" spans="1:45" s="14" customFormat="1" ht="26.4" customHeight="1" x14ac:dyDescent="0.3">
      <c r="A6" s="17" t="s">
        <v>98</v>
      </c>
      <c r="B6" s="243">
        <v>9</v>
      </c>
      <c r="C6" s="244"/>
      <c r="D6" s="245">
        <f>'Users 1st year'!D3*0.1</f>
        <v>3</v>
      </c>
      <c r="E6" s="243">
        <f>$B6*D6</f>
        <v>27</v>
      </c>
      <c r="F6" s="244"/>
      <c r="G6" s="245">
        <f>'Users 1st year'!H3*0.1</f>
        <v>3.1</v>
      </c>
      <c r="H6" s="243">
        <f>$B6*G6</f>
        <v>27.900000000000002</v>
      </c>
      <c r="I6" s="244"/>
      <c r="J6" s="245">
        <f>'Users 1st year'!L3*0.1</f>
        <v>52.5</v>
      </c>
      <c r="K6" s="243">
        <f>$B6*J6</f>
        <v>472.5</v>
      </c>
      <c r="L6" s="244"/>
      <c r="M6" s="245">
        <f>'Users 1st year'!P3*0.1</f>
        <v>54.1</v>
      </c>
      <c r="N6" s="243">
        <f>$B6*M6</f>
        <v>486.90000000000003</v>
      </c>
      <c r="O6" s="244"/>
      <c r="P6" s="245">
        <f>'Users 1st year'!T3*0.1</f>
        <v>62.1</v>
      </c>
      <c r="Q6" s="243">
        <f>$B6*P6</f>
        <v>558.9</v>
      </c>
      <c r="R6" s="244"/>
      <c r="S6" s="245">
        <f>'Users 1st year'!X3*0.1</f>
        <v>50.1</v>
      </c>
      <c r="T6" s="243">
        <f>$B6*S6</f>
        <v>450.90000000000003</v>
      </c>
      <c r="U6" s="244"/>
      <c r="V6" s="245">
        <f>'Users 1st year'!AB3*0.1</f>
        <v>51.6</v>
      </c>
      <c r="W6" s="243">
        <f>$B6*V6</f>
        <v>464.40000000000003</v>
      </c>
      <c r="X6" s="244"/>
      <c r="Y6" s="245">
        <f>'Users 1st year'!AF3*0.1</f>
        <v>64.400000000000006</v>
      </c>
      <c r="Z6" s="243">
        <f>$B6*Y6</f>
        <v>579.6</v>
      </c>
      <c r="AA6" s="244"/>
      <c r="AB6" s="245">
        <f>'Users 1st year'!AJ3*0.1</f>
        <v>67.5</v>
      </c>
      <c r="AC6" s="243">
        <f>$B6*AB6</f>
        <v>607.5</v>
      </c>
      <c r="AD6" s="244"/>
      <c r="AE6" s="245">
        <f>'Users 1st year'!AN3*0.1</f>
        <v>68.2</v>
      </c>
      <c r="AF6" s="243">
        <f>$B6*AE6</f>
        <v>613.80000000000007</v>
      </c>
      <c r="AG6" s="244"/>
      <c r="AH6" s="245">
        <f>'Users 1st year'!AR3*0.1</f>
        <v>69.900000000000006</v>
      </c>
      <c r="AI6" s="243">
        <f>$B6*AH6</f>
        <v>629.1</v>
      </c>
      <c r="AJ6" s="244"/>
      <c r="AK6" s="245">
        <f>'Users 1st year'!AV3*0.1</f>
        <v>69.400000000000006</v>
      </c>
      <c r="AL6" s="243">
        <f>$B6*AK6</f>
        <v>624.6</v>
      </c>
      <c r="AM6" s="246"/>
      <c r="AN6" s="247">
        <f>D6+G6+J6+M6+P6+S6+V6+Y6+AB6+AE6+AH6+AK6</f>
        <v>615.9</v>
      </c>
      <c r="AO6" s="248">
        <f>E6+H6+K6+N6+Q6+T6+W6+Z6+AC6+AF6+AI6+AL6</f>
        <v>5543.1</v>
      </c>
      <c r="AP6" s="248"/>
      <c r="AQ6" s="246"/>
      <c r="AS6" s="171"/>
    </row>
    <row r="7" spans="1:45" s="179" customFormat="1" ht="26.4" customHeight="1" x14ac:dyDescent="0.3">
      <c r="A7" s="177" t="s">
        <v>47</v>
      </c>
      <c r="B7" s="250"/>
      <c r="C7" s="251"/>
      <c r="D7" s="61"/>
      <c r="E7" s="252">
        <f>SUM(E3:E6)</f>
        <v>82.9</v>
      </c>
      <c r="F7" s="251"/>
      <c r="G7" s="61"/>
      <c r="H7" s="252">
        <f>SUM(H3:H6)</f>
        <v>131.315</v>
      </c>
      <c r="I7" s="251"/>
      <c r="J7" s="61"/>
      <c r="K7" s="252">
        <f>SUM(K3:K6)</f>
        <v>2278.4255000000003</v>
      </c>
      <c r="L7" s="251"/>
      <c r="M7" s="61"/>
      <c r="N7" s="252">
        <f>SUM(N3:N6)</f>
        <v>3845.29286</v>
      </c>
      <c r="O7" s="251"/>
      <c r="P7" s="61"/>
      <c r="Q7" s="252">
        <f>SUM(Q3:Q6)</f>
        <v>5343.5730413999991</v>
      </c>
      <c r="R7" s="251"/>
      <c r="S7" s="61"/>
      <c r="T7" s="252">
        <f>SUM(T3:T6)</f>
        <v>5994.5087622999999</v>
      </c>
      <c r="U7" s="251"/>
      <c r="V7" s="61"/>
      <c r="W7" s="252">
        <f>SUM(W3:W6)</f>
        <v>6564.7924270999993</v>
      </c>
      <c r="X7" s="251"/>
      <c r="Y7" s="61"/>
      <c r="Z7" s="252">
        <f>SUM(Z3:Z6)</f>
        <v>7613.9228367885007</v>
      </c>
      <c r="AA7" s="251"/>
      <c r="AB7" s="61"/>
      <c r="AC7" s="252">
        <f>SUM(AC3:AC6)</f>
        <v>8536.2199737913343</v>
      </c>
      <c r="AD7" s="251"/>
      <c r="AE7" s="61"/>
      <c r="AF7" s="252">
        <f>SUM(AF3:AF6)</f>
        <v>9312.3029679066676</v>
      </c>
      <c r="AG7" s="251"/>
      <c r="AH7" s="61"/>
      <c r="AI7" s="252">
        <f>SUM(AI3:AI6)</f>
        <v>9983.1394057580055</v>
      </c>
      <c r="AJ7" s="251"/>
      <c r="AK7" s="61"/>
      <c r="AL7" s="252">
        <f>SUM(AL3:AL6)</f>
        <v>10549.283432867142</v>
      </c>
      <c r="AM7" s="253"/>
      <c r="AN7" s="61"/>
      <c r="AO7" s="254">
        <f>SUM(AO3:AO6)</f>
        <v>70235.676207911645</v>
      </c>
      <c r="AP7" s="254"/>
      <c r="AR7" s="255"/>
      <c r="AS7" s="256"/>
    </row>
    <row r="8" spans="1:45" ht="16.2" customHeight="1" x14ac:dyDescent="0.3">
      <c r="A8" s="180"/>
      <c r="B8" s="257"/>
      <c r="C8" s="175"/>
      <c r="D8" s="70"/>
      <c r="E8" s="258"/>
      <c r="F8" s="175"/>
      <c r="G8" s="70"/>
      <c r="H8" s="258"/>
      <c r="I8" s="175"/>
      <c r="J8" s="70"/>
      <c r="K8" s="258"/>
      <c r="L8" s="175"/>
      <c r="M8" s="70"/>
      <c r="N8" s="258"/>
      <c r="O8" s="175"/>
      <c r="P8" s="70"/>
      <c r="Q8" s="258"/>
      <c r="R8" s="175"/>
      <c r="S8" s="70"/>
      <c r="T8" s="258"/>
      <c r="U8" s="175"/>
      <c r="V8" s="70"/>
      <c r="W8" s="258"/>
      <c r="X8" s="175"/>
      <c r="Y8" s="70"/>
      <c r="Z8" s="258"/>
      <c r="AA8" s="175"/>
      <c r="AB8" s="70"/>
      <c r="AC8" s="258"/>
      <c r="AD8" s="175"/>
      <c r="AE8" s="70"/>
      <c r="AF8" s="258"/>
      <c r="AG8" s="175"/>
      <c r="AH8" s="70"/>
      <c r="AI8" s="258"/>
      <c r="AJ8" s="175"/>
      <c r="AK8" s="70"/>
      <c r="AL8" s="258"/>
      <c r="AM8" s="28"/>
      <c r="AN8" s="70"/>
      <c r="AO8" s="259"/>
      <c r="AP8" s="260"/>
    </row>
    <row r="9" spans="1:45" ht="16.2" customHeight="1" x14ac:dyDescent="0.3">
      <c r="A9" s="180"/>
      <c r="B9" s="257"/>
      <c r="C9" s="175"/>
      <c r="D9" s="70"/>
      <c r="E9" s="258"/>
      <c r="F9" s="175"/>
      <c r="G9" s="70"/>
      <c r="H9" s="258"/>
      <c r="I9" s="175"/>
      <c r="J9" s="70"/>
      <c r="K9" s="258"/>
      <c r="L9" s="175"/>
      <c r="M9" s="70"/>
      <c r="N9" s="258"/>
      <c r="O9" s="175"/>
      <c r="P9" s="70"/>
      <c r="Q9" s="258"/>
      <c r="R9" s="175"/>
      <c r="S9" s="70"/>
      <c r="T9" s="258"/>
      <c r="U9" s="175"/>
      <c r="V9" s="70"/>
      <c r="W9" s="258"/>
      <c r="X9" s="175"/>
      <c r="Y9" s="70"/>
      <c r="Z9" s="258"/>
      <c r="AA9" s="175"/>
      <c r="AB9" s="70"/>
      <c r="AC9" s="258"/>
      <c r="AD9" s="175"/>
      <c r="AE9" s="70"/>
      <c r="AF9" s="258"/>
      <c r="AG9" s="175"/>
      <c r="AH9" s="70"/>
      <c r="AI9" s="258"/>
      <c r="AJ9" s="175"/>
      <c r="AK9" s="70"/>
      <c r="AL9" s="258"/>
      <c r="AM9" s="28"/>
      <c r="AN9" s="70"/>
      <c r="AO9" s="259"/>
      <c r="AP9" s="260"/>
    </row>
    <row r="10" spans="1:45" s="267" customFormat="1" ht="19.2" customHeight="1" x14ac:dyDescent="0.3">
      <c r="A10" s="261" t="s">
        <v>106</v>
      </c>
      <c r="B10" s="262"/>
      <c r="C10" s="263"/>
      <c r="D10" s="264"/>
      <c r="E10" s="262"/>
      <c r="F10" s="263"/>
      <c r="G10" s="264"/>
      <c r="H10" s="262"/>
      <c r="I10" s="263"/>
      <c r="J10" s="264"/>
      <c r="K10" s="262"/>
      <c r="L10" s="263"/>
      <c r="M10" s="264"/>
      <c r="N10" s="262"/>
      <c r="O10" s="263"/>
      <c r="P10" s="264"/>
      <c r="Q10" s="262"/>
      <c r="R10" s="263"/>
      <c r="S10" s="264"/>
      <c r="T10" s="262"/>
      <c r="U10" s="263"/>
      <c r="V10" s="264"/>
      <c r="W10" s="262"/>
      <c r="X10" s="263"/>
      <c r="Y10" s="264"/>
      <c r="Z10" s="262"/>
      <c r="AA10" s="263"/>
      <c r="AB10" s="264"/>
      <c r="AC10" s="262"/>
      <c r="AD10" s="263"/>
      <c r="AE10" s="264"/>
      <c r="AF10" s="262"/>
      <c r="AG10" s="263"/>
      <c r="AH10" s="264"/>
      <c r="AI10" s="262"/>
      <c r="AJ10" s="263"/>
      <c r="AK10" s="264"/>
      <c r="AL10" s="262"/>
      <c r="AM10" s="265"/>
      <c r="AN10" s="266"/>
      <c r="AO10" s="262"/>
      <c r="AP10" s="265"/>
      <c r="AS10" s="268"/>
    </row>
    <row r="11" spans="1:45" ht="19.2" customHeight="1" x14ac:dyDescent="0.3">
      <c r="A11" s="185" t="s">
        <v>107</v>
      </c>
      <c r="B11" s="249">
        <f>B4</f>
        <v>27.95</v>
      </c>
      <c r="C11" s="175"/>
      <c r="D11" s="245">
        <f>INT('Sales 1st yr'!D4*0.01)</f>
        <v>0</v>
      </c>
      <c r="E11" s="257">
        <f>-$B$11*D11</f>
        <v>0</v>
      </c>
      <c r="F11" s="175"/>
      <c r="G11" s="245">
        <f>INT('Sales 1st yr'!G4*0.01)</f>
        <v>0</v>
      </c>
      <c r="H11" s="257">
        <f>-$B$11*G11</f>
        <v>0</v>
      </c>
      <c r="I11" s="175"/>
      <c r="J11" s="245">
        <f>INT('Sales 1st yr'!J4*0.01)</f>
        <v>0</v>
      </c>
      <c r="K11" s="257">
        <f>-$B$11*J11</f>
        <v>0</v>
      </c>
      <c r="L11" s="175"/>
      <c r="M11" s="245">
        <f>INT('Sales 1st yr'!M4*0.01)</f>
        <v>0</v>
      </c>
      <c r="N11" s="257">
        <f>-$B$11*M11</f>
        <v>0</v>
      </c>
      <c r="O11" s="175"/>
      <c r="P11" s="245">
        <f>INT('Sales 1st yr'!P4*0.01)</f>
        <v>1</v>
      </c>
      <c r="Q11" s="257">
        <f>-$B$11*P11</f>
        <v>-27.95</v>
      </c>
      <c r="R11" s="175"/>
      <c r="S11" s="245">
        <f>INT('Sales 1st yr'!S4*0.01)</f>
        <v>1</v>
      </c>
      <c r="T11" s="257">
        <f>-$B$11*S11</f>
        <v>-27.95</v>
      </c>
      <c r="U11" s="175"/>
      <c r="V11" s="245">
        <f>INT('Sales 1st yr'!V4*0.01)</f>
        <v>1</v>
      </c>
      <c r="W11" s="257">
        <f>-$B$11*V11</f>
        <v>-27.95</v>
      </c>
      <c r="X11" s="175"/>
      <c r="Y11" s="245">
        <f>INT('Sales 1st yr'!Y4*0.01)</f>
        <v>1</v>
      </c>
      <c r="Z11" s="257">
        <f>-$B$11*Y11</f>
        <v>-27.95</v>
      </c>
      <c r="AA11" s="175"/>
      <c r="AB11" s="245">
        <f>INT('Sales 1st yr'!AB4*0.01)</f>
        <v>2</v>
      </c>
      <c r="AC11" s="257">
        <f>-$B$11*AB11</f>
        <v>-55.9</v>
      </c>
      <c r="AD11" s="175"/>
      <c r="AE11" s="245">
        <f>INT('Sales 1st yr'!AE4*0.01)</f>
        <v>2</v>
      </c>
      <c r="AF11" s="257">
        <f>-$B$11*AE11</f>
        <v>-55.9</v>
      </c>
      <c r="AG11" s="175"/>
      <c r="AH11" s="245">
        <f>INT('Sales 1st yr'!AH4*0.01)</f>
        <v>2</v>
      </c>
      <c r="AI11" s="257">
        <f>-$B$11*AH11</f>
        <v>-55.9</v>
      </c>
      <c r="AJ11" s="175"/>
      <c r="AK11" s="245">
        <f>INT('Sales 1st yr'!AK4*0.01)</f>
        <v>2</v>
      </c>
      <c r="AL11" s="257">
        <f>-$B$11*AK11</f>
        <v>-55.9</v>
      </c>
      <c r="AM11" s="28"/>
      <c r="AN11" s="247">
        <f t="shared" ref="AN11:AO12" si="14">D11+G11+J11+M11+P11+S11+V11+Y11+AB11+AE11+AH11+AK11</f>
        <v>12</v>
      </c>
      <c r="AO11" s="248">
        <f>E11+H11+K11+N11+Q11+T11+W11+Z11+AC11+AF11+AI11+AL11</f>
        <v>-335.4</v>
      </c>
      <c r="AP11" s="22"/>
    </row>
    <row r="12" spans="1:45" ht="19.2" customHeight="1" x14ac:dyDescent="0.3">
      <c r="A12" s="185" t="s">
        <v>108</v>
      </c>
      <c r="B12" s="249">
        <f>B5</f>
        <v>39.950000000000003</v>
      </c>
      <c r="C12" s="175"/>
      <c r="D12" s="245">
        <f>INT('Sales 1st yr'!D5*0.01)</f>
        <v>0</v>
      </c>
      <c r="E12" s="257">
        <f>-$B$11*D12</f>
        <v>0</v>
      </c>
      <c r="F12" s="175"/>
      <c r="G12" s="245">
        <f>INT('Sales 1st yr'!G5*0.01)</f>
        <v>0</v>
      </c>
      <c r="H12" s="257">
        <f>-$B$11*G12</f>
        <v>0</v>
      </c>
      <c r="I12" s="175"/>
      <c r="J12" s="245">
        <f>INT('Sales 1st yr'!J5*0.01)</f>
        <v>0</v>
      </c>
      <c r="K12" s="257">
        <f>-$B$11*J12</f>
        <v>0</v>
      </c>
      <c r="L12" s="175"/>
      <c r="M12" s="245">
        <f>INT('Sales 1st yr'!M5*0.01)</f>
        <v>0</v>
      </c>
      <c r="N12" s="257">
        <f>-$B$11*M12</f>
        <v>0</v>
      </c>
      <c r="O12" s="175"/>
      <c r="P12" s="245">
        <f>INT('Sales 1st yr'!P5*0.01)</f>
        <v>0</v>
      </c>
      <c r="Q12" s="257">
        <f>-$B$11*P12</f>
        <v>0</v>
      </c>
      <c r="R12" s="175"/>
      <c r="S12" s="245">
        <f>INT('Sales 1st yr'!S5*0.01)</f>
        <v>0</v>
      </c>
      <c r="T12" s="257">
        <f>-$B$11*S12</f>
        <v>0</v>
      </c>
      <c r="U12" s="175"/>
      <c r="V12" s="245">
        <f>INT('Sales 1st yr'!V5*0.01)</f>
        <v>0</v>
      </c>
      <c r="W12" s="257">
        <f>-$B$11*V12</f>
        <v>0</v>
      </c>
      <c r="X12" s="175"/>
      <c r="Y12" s="245">
        <f>INT('Sales 1st yr'!Y5*0.01)</f>
        <v>0</v>
      </c>
      <c r="Z12" s="257">
        <f>-$B$11*Y12</f>
        <v>0</v>
      </c>
      <c r="AA12" s="175"/>
      <c r="AB12" s="245">
        <f>INT('Sales 1st yr'!AB5*0.01)</f>
        <v>0</v>
      </c>
      <c r="AC12" s="257">
        <f>-$B$11*AB12</f>
        <v>0</v>
      </c>
      <c r="AD12" s="175"/>
      <c r="AE12" s="245">
        <f>INT('Sales 1st yr'!AE5*0.01)</f>
        <v>0</v>
      </c>
      <c r="AF12" s="257">
        <f>-$B$11*AE12</f>
        <v>0</v>
      </c>
      <c r="AG12" s="175"/>
      <c r="AH12" s="245">
        <f>INT('Sales 1st yr'!AH5*0.01)</f>
        <v>0</v>
      </c>
      <c r="AI12" s="257">
        <f>-$B$11*AH12</f>
        <v>0</v>
      </c>
      <c r="AJ12" s="175"/>
      <c r="AK12" s="245">
        <f>INT('Sales 1st yr'!AK5*0.01)</f>
        <v>0</v>
      </c>
      <c r="AL12" s="257">
        <f>-$B$11*AK12</f>
        <v>0</v>
      </c>
      <c r="AM12" s="28"/>
      <c r="AN12" s="247">
        <f t="shared" si="14"/>
        <v>0</v>
      </c>
      <c r="AO12" s="248">
        <f t="shared" si="14"/>
        <v>0</v>
      </c>
      <c r="AP12" s="22"/>
    </row>
    <row r="13" spans="1:45" s="276" customFormat="1" ht="22.8" customHeight="1" x14ac:dyDescent="0.3">
      <c r="A13" s="261" t="s">
        <v>109</v>
      </c>
      <c r="B13" s="269"/>
      <c r="C13" s="270"/>
      <c r="D13" s="271"/>
      <c r="E13" s="269">
        <f>SUM(E11:E12)</f>
        <v>0</v>
      </c>
      <c r="F13" s="270"/>
      <c r="G13" s="272"/>
      <c r="H13" s="269">
        <f>SUM(H11:H12)</f>
        <v>0</v>
      </c>
      <c r="I13" s="270"/>
      <c r="J13" s="272"/>
      <c r="K13" s="269">
        <f>SUM(K11:K12)</f>
        <v>0</v>
      </c>
      <c r="L13" s="270"/>
      <c r="M13" s="272"/>
      <c r="N13" s="269">
        <f>SUM(N11:N12)</f>
        <v>0</v>
      </c>
      <c r="O13" s="270"/>
      <c r="P13" s="272"/>
      <c r="Q13" s="269">
        <f>SUM(Q11:Q12)</f>
        <v>-27.95</v>
      </c>
      <c r="R13" s="270"/>
      <c r="S13" s="272"/>
      <c r="T13" s="269">
        <f>SUM(T11:T12)</f>
        <v>-27.95</v>
      </c>
      <c r="U13" s="270"/>
      <c r="V13" s="272"/>
      <c r="W13" s="269">
        <f>SUM(W11:W12)</f>
        <v>-27.95</v>
      </c>
      <c r="X13" s="270"/>
      <c r="Y13" s="272"/>
      <c r="Z13" s="269">
        <f>SUM(Z11:Z12)</f>
        <v>-27.95</v>
      </c>
      <c r="AA13" s="270"/>
      <c r="AB13" s="272"/>
      <c r="AC13" s="269">
        <f>SUM(AC11:AC12)</f>
        <v>-55.9</v>
      </c>
      <c r="AD13" s="270"/>
      <c r="AE13" s="272"/>
      <c r="AF13" s="269">
        <f>SUM(AF11:AF12)</f>
        <v>-55.9</v>
      </c>
      <c r="AG13" s="270"/>
      <c r="AH13" s="272"/>
      <c r="AI13" s="269">
        <f>SUM(AI11:AI12)</f>
        <v>-55.9</v>
      </c>
      <c r="AJ13" s="270"/>
      <c r="AK13" s="272"/>
      <c r="AL13" s="269">
        <f>SUM(AL11:AL12)</f>
        <v>-55.9</v>
      </c>
      <c r="AM13" s="273"/>
      <c r="AN13" s="273"/>
      <c r="AO13" s="274">
        <f>SUM(AO11:AO12)</f>
        <v>-335.4</v>
      </c>
      <c r="AP13" s="275"/>
      <c r="AS13" s="277"/>
    </row>
    <row r="16" spans="1:45" ht="14.4" customHeight="1" x14ac:dyDescent="0.3">
      <c r="B16" s="28"/>
      <c r="C16" s="28"/>
      <c r="D16" s="278"/>
      <c r="E16" s="28"/>
      <c r="F16" s="28"/>
      <c r="G16" s="278"/>
      <c r="H16" s="28"/>
      <c r="I16" s="28"/>
      <c r="J16" s="278"/>
      <c r="K16" s="28"/>
      <c r="L16" s="28"/>
      <c r="M16" s="278"/>
      <c r="N16" s="28"/>
      <c r="O16" s="28"/>
      <c r="P16" s="278"/>
      <c r="Q16" s="28"/>
      <c r="R16" s="28"/>
      <c r="S16" s="278"/>
      <c r="T16" s="28"/>
      <c r="U16" s="28"/>
      <c r="V16" s="278"/>
      <c r="W16" s="28"/>
      <c r="X16" s="28"/>
      <c r="Y16" s="278"/>
      <c r="Z16" s="28"/>
      <c r="AA16" s="28"/>
      <c r="AB16" s="278"/>
      <c r="AC16" s="28"/>
      <c r="AD16" s="28"/>
      <c r="AE16" s="278"/>
      <c r="AF16" s="28"/>
      <c r="AG16" s="28"/>
      <c r="AH16" s="278"/>
      <c r="AI16" s="28"/>
      <c r="AJ16" s="28"/>
      <c r="AK16" s="278"/>
      <c r="AL16" s="28"/>
      <c r="AM16" s="28"/>
      <c r="AN16" s="28"/>
      <c r="AO16" s="28"/>
      <c r="AP16" s="28"/>
    </row>
    <row r="17" spans="1:45" s="669" customFormat="1" ht="20.399999999999999" customHeight="1" x14ac:dyDescent="0.3">
      <c r="A17" s="667" t="s">
        <v>131</v>
      </c>
      <c r="B17" s="672"/>
      <c r="C17" s="993" t="s">
        <v>8</v>
      </c>
      <c r="D17" s="994"/>
      <c r="E17" s="995"/>
      <c r="F17" s="993" t="s">
        <v>9</v>
      </c>
      <c r="G17" s="994"/>
      <c r="H17" s="995"/>
      <c r="I17" s="993" t="s">
        <v>10</v>
      </c>
      <c r="J17" s="994"/>
      <c r="K17" s="995"/>
      <c r="L17" s="993" t="s">
        <v>11</v>
      </c>
      <c r="M17" s="994"/>
      <c r="N17" s="995"/>
      <c r="O17" s="993" t="s">
        <v>12</v>
      </c>
      <c r="P17" s="994"/>
      <c r="Q17" s="995"/>
      <c r="R17" s="993" t="s">
        <v>13</v>
      </c>
      <c r="S17" s="994"/>
      <c r="T17" s="995"/>
      <c r="U17" s="993" t="s">
        <v>14</v>
      </c>
      <c r="V17" s="994"/>
      <c r="W17" s="995"/>
      <c r="X17" s="993" t="s">
        <v>15</v>
      </c>
      <c r="Y17" s="994"/>
      <c r="Z17" s="995"/>
      <c r="AA17" s="993" t="s">
        <v>16</v>
      </c>
      <c r="AB17" s="994"/>
      <c r="AC17" s="995"/>
      <c r="AD17" s="993" t="s">
        <v>17</v>
      </c>
      <c r="AE17" s="994"/>
      <c r="AF17" s="995"/>
      <c r="AG17" s="993" t="s">
        <v>18</v>
      </c>
      <c r="AH17" s="994"/>
      <c r="AI17" s="995"/>
      <c r="AJ17" s="993" t="s">
        <v>19</v>
      </c>
      <c r="AK17" s="994"/>
      <c r="AL17" s="995"/>
      <c r="AM17" s="668"/>
      <c r="AN17" s="668"/>
      <c r="AO17" s="668"/>
      <c r="AP17" s="668"/>
      <c r="AS17" s="670"/>
    </row>
    <row r="18" spans="1:45" s="348" customFormat="1" ht="19.2" customHeight="1" x14ac:dyDescent="0.3">
      <c r="A18" s="671" t="str">
        <f>'VAT next yrs'!A40</f>
        <v>UK</v>
      </c>
      <c r="B18" s="551">
        <f>'Users 1st year'!E11</f>
        <v>1</v>
      </c>
      <c r="C18" s="662"/>
      <c r="D18" s="658"/>
      <c r="E18" s="243">
        <f>E$7*$B18</f>
        <v>82.9</v>
      </c>
      <c r="F18" s="666"/>
      <c r="G18" s="18"/>
      <c r="H18" s="243">
        <f>H$7*$B18</f>
        <v>131.315</v>
      </c>
      <c r="I18" s="666"/>
      <c r="J18" s="18"/>
      <c r="K18" s="243">
        <f>K$7*$B18</f>
        <v>2278.4255000000003</v>
      </c>
      <c r="L18" s="666"/>
      <c r="M18" s="18"/>
      <c r="N18" s="243">
        <f>N$7*$B18</f>
        <v>3845.29286</v>
      </c>
      <c r="O18" s="666"/>
      <c r="P18" s="18"/>
      <c r="Q18" s="243">
        <f>Q$7*$B18</f>
        <v>5343.5730413999991</v>
      </c>
      <c r="R18" s="666"/>
      <c r="S18" s="18"/>
      <c r="T18" s="243">
        <f>T$7*$B18</f>
        <v>5994.5087622999999</v>
      </c>
      <c r="U18" s="666"/>
      <c r="V18" s="18"/>
      <c r="W18" s="243">
        <f>W$7*$B18</f>
        <v>6564.7924270999993</v>
      </c>
      <c r="X18" s="666"/>
      <c r="Y18" s="18"/>
      <c r="Z18" s="243">
        <f>Z$7*$B18</f>
        <v>7613.9228367885007</v>
      </c>
      <c r="AA18" s="666"/>
      <c r="AB18" s="18"/>
      <c r="AC18" s="243">
        <f>AC$7*$B18</f>
        <v>8536.2199737913343</v>
      </c>
      <c r="AD18" s="666"/>
      <c r="AE18" s="18"/>
      <c r="AF18" s="243">
        <f>AF$7*$B18</f>
        <v>9312.3029679066676</v>
      </c>
      <c r="AG18" s="666"/>
      <c r="AH18" s="18"/>
      <c r="AI18" s="243">
        <f>AI$7*$B18</f>
        <v>9983.1394057580055</v>
      </c>
      <c r="AJ18" s="666"/>
      <c r="AK18" s="18"/>
      <c r="AL18" s="243">
        <f>AL$7*$B18</f>
        <v>10549.283432867142</v>
      </c>
      <c r="AM18" s="657"/>
      <c r="AN18" s="657"/>
      <c r="AO18" s="657"/>
      <c r="AP18" s="657"/>
      <c r="AS18" s="562"/>
    </row>
    <row r="19" spans="1:45" s="348" customFormat="1" ht="19.2" customHeight="1" x14ac:dyDescent="0.3">
      <c r="A19" s="671" t="str">
        <f>'VAT next yrs'!A41</f>
        <v>EEA</v>
      </c>
      <c r="B19" s="551">
        <f>'Users 1st year'!E12</f>
        <v>0</v>
      </c>
      <c r="C19" s="663"/>
      <c r="D19" s="659"/>
      <c r="E19" s="243">
        <f t="shared" ref="E19:E24" si="15">E$7*$B19</f>
        <v>0</v>
      </c>
      <c r="F19" s="666"/>
      <c r="G19" s="18"/>
      <c r="H19" s="243">
        <f>H$7*$B19</f>
        <v>0</v>
      </c>
      <c r="I19" s="666"/>
      <c r="J19" s="18"/>
      <c r="K19" s="243">
        <f>K$7*$B19</f>
        <v>0</v>
      </c>
      <c r="L19" s="666"/>
      <c r="M19" s="18"/>
      <c r="N19" s="243">
        <f>N$7*$B19</f>
        <v>0</v>
      </c>
      <c r="O19" s="666"/>
      <c r="P19" s="18"/>
      <c r="Q19" s="243">
        <f>Q$7*$B19</f>
        <v>0</v>
      </c>
      <c r="R19" s="666"/>
      <c r="S19" s="18"/>
      <c r="T19" s="243">
        <f>T$7*$B19</f>
        <v>0</v>
      </c>
      <c r="U19" s="666"/>
      <c r="V19" s="18"/>
      <c r="W19" s="243">
        <f>W$7*$B19</f>
        <v>0</v>
      </c>
      <c r="X19" s="666"/>
      <c r="Y19" s="18"/>
      <c r="Z19" s="243">
        <f>Z$7*$B19</f>
        <v>0</v>
      </c>
      <c r="AA19" s="666"/>
      <c r="AB19" s="18"/>
      <c r="AC19" s="243">
        <f>AC$7*$B19</f>
        <v>0</v>
      </c>
      <c r="AD19" s="666"/>
      <c r="AE19" s="18"/>
      <c r="AF19" s="243">
        <f>AF$7*$B19</f>
        <v>0</v>
      </c>
      <c r="AG19" s="666"/>
      <c r="AH19" s="18"/>
      <c r="AI19" s="243">
        <f>AI$7*$B19</f>
        <v>0</v>
      </c>
      <c r="AJ19" s="666"/>
      <c r="AK19" s="18"/>
      <c r="AL19" s="243">
        <f>AL$7*$B19</f>
        <v>0</v>
      </c>
      <c r="AM19" s="657"/>
      <c r="AN19" s="657"/>
      <c r="AO19" s="657"/>
      <c r="AP19" s="657"/>
      <c r="AS19" s="562"/>
    </row>
    <row r="20" spans="1:45" s="208" customFormat="1" ht="19.2" customHeight="1" x14ac:dyDescent="0.3">
      <c r="A20" s="671" t="str">
        <f>'VAT next yrs'!A42</f>
        <v>USA</v>
      </c>
      <c r="B20" s="551">
        <f>'Users 1st year'!E13</f>
        <v>0</v>
      </c>
      <c r="C20" s="664"/>
      <c r="D20" s="660"/>
      <c r="E20" s="243">
        <f t="shared" si="15"/>
        <v>0</v>
      </c>
      <c r="F20" s="666"/>
      <c r="G20" s="18"/>
      <c r="H20" s="243">
        <f>H$7*$B20</f>
        <v>0</v>
      </c>
      <c r="I20" s="666"/>
      <c r="J20" s="18"/>
      <c r="K20" s="243">
        <f>K$7*$B20</f>
        <v>0</v>
      </c>
      <c r="L20" s="666"/>
      <c r="M20" s="18"/>
      <c r="N20" s="243">
        <f>N$7*$B20</f>
        <v>0</v>
      </c>
      <c r="O20" s="666"/>
      <c r="P20" s="18"/>
      <c r="Q20" s="243">
        <f>Q$7*$B20</f>
        <v>0</v>
      </c>
      <c r="R20" s="666"/>
      <c r="S20" s="18"/>
      <c r="T20" s="243">
        <f>T$7*$B20</f>
        <v>0</v>
      </c>
      <c r="U20" s="666"/>
      <c r="V20" s="18"/>
      <c r="W20" s="243">
        <f>W$7*$B20</f>
        <v>0</v>
      </c>
      <c r="X20" s="666"/>
      <c r="Y20" s="18"/>
      <c r="Z20" s="243">
        <f>Z$7*$B20</f>
        <v>0</v>
      </c>
      <c r="AA20" s="666"/>
      <c r="AB20" s="18"/>
      <c r="AC20" s="243">
        <f>AC$7*$B20</f>
        <v>0</v>
      </c>
      <c r="AD20" s="666"/>
      <c r="AE20" s="18"/>
      <c r="AF20" s="243">
        <f>AF$7*$B20</f>
        <v>0</v>
      </c>
      <c r="AG20" s="666"/>
      <c r="AH20" s="18"/>
      <c r="AI20" s="243">
        <f>AI$7*$B20</f>
        <v>0</v>
      </c>
      <c r="AJ20" s="666"/>
      <c r="AK20" s="18"/>
      <c r="AL20" s="243">
        <f>AL$7*$B20</f>
        <v>0</v>
      </c>
      <c r="AS20" s="661"/>
    </row>
    <row r="21" spans="1:45" s="208" customFormat="1" ht="19.2" customHeight="1" x14ac:dyDescent="0.3">
      <c r="A21" s="671" t="str">
        <f>'VAT next yrs'!A43</f>
        <v>Canada</v>
      </c>
      <c r="B21" s="551">
        <f>'Users 1st year'!E14</f>
        <v>0</v>
      </c>
      <c r="C21" s="664"/>
      <c r="D21" s="660"/>
      <c r="E21" s="243">
        <f t="shared" si="15"/>
        <v>0</v>
      </c>
      <c r="F21" s="666"/>
      <c r="G21" s="18"/>
      <c r="H21" s="243">
        <f>H$7*$B21</f>
        <v>0</v>
      </c>
      <c r="I21" s="666"/>
      <c r="J21" s="18"/>
      <c r="K21" s="243">
        <f>K$7*$B21</f>
        <v>0</v>
      </c>
      <c r="L21" s="666"/>
      <c r="M21" s="18"/>
      <c r="N21" s="243">
        <f>N$7*$B21</f>
        <v>0</v>
      </c>
      <c r="O21" s="666"/>
      <c r="P21" s="18"/>
      <c r="Q21" s="243">
        <f>Q$7*$B21</f>
        <v>0</v>
      </c>
      <c r="R21" s="666"/>
      <c r="S21" s="18"/>
      <c r="T21" s="243">
        <f>T$7*$B21</f>
        <v>0</v>
      </c>
      <c r="U21" s="666"/>
      <c r="V21" s="18"/>
      <c r="W21" s="243">
        <f>W$7*$B21</f>
        <v>0</v>
      </c>
      <c r="X21" s="666"/>
      <c r="Y21" s="18"/>
      <c r="Z21" s="243">
        <f>Z$7*$B21</f>
        <v>0</v>
      </c>
      <c r="AA21" s="666"/>
      <c r="AB21" s="18"/>
      <c r="AC21" s="243">
        <f>AC$7*$B21</f>
        <v>0</v>
      </c>
      <c r="AD21" s="666"/>
      <c r="AE21" s="18"/>
      <c r="AF21" s="243">
        <f>AF$7*$B21</f>
        <v>0</v>
      </c>
      <c r="AG21" s="666"/>
      <c r="AH21" s="18"/>
      <c r="AI21" s="243">
        <f>AI$7*$B21</f>
        <v>0</v>
      </c>
      <c r="AJ21" s="666"/>
      <c r="AK21" s="18"/>
      <c r="AL21" s="243">
        <f>AL$7*$B21</f>
        <v>0</v>
      </c>
      <c r="AS21" s="661"/>
    </row>
    <row r="22" spans="1:45" s="208" customFormat="1" ht="19.2" customHeight="1" x14ac:dyDescent="0.3">
      <c r="A22" s="671" t="s">
        <v>327</v>
      </c>
      <c r="B22" s="551">
        <f>'Users 1st year'!E15</f>
        <v>0</v>
      </c>
      <c r="C22" s="664"/>
      <c r="D22" s="660"/>
      <c r="E22" s="243">
        <f t="shared" si="15"/>
        <v>0</v>
      </c>
      <c r="F22" s="666"/>
      <c r="G22" s="18"/>
      <c r="H22" s="243">
        <f>H$7*$B22</f>
        <v>0</v>
      </c>
      <c r="I22" s="666"/>
      <c r="J22" s="18"/>
      <c r="K22" s="243">
        <f>K$7*$B22</f>
        <v>0</v>
      </c>
      <c r="L22" s="666"/>
      <c r="M22" s="18"/>
      <c r="N22" s="243">
        <f>N$7*$B22</f>
        <v>0</v>
      </c>
      <c r="O22" s="666"/>
      <c r="P22" s="18"/>
      <c r="Q22" s="243">
        <f>Q$7*$B22</f>
        <v>0</v>
      </c>
      <c r="R22" s="666"/>
      <c r="S22" s="18"/>
      <c r="T22" s="243">
        <f>T$7*$B22</f>
        <v>0</v>
      </c>
      <c r="U22" s="666"/>
      <c r="V22" s="18"/>
      <c r="W22" s="243">
        <f>W$7*$B22</f>
        <v>0</v>
      </c>
      <c r="X22" s="666"/>
      <c r="Y22" s="18"/>
      <c r="Z22" s="243">
        <f>Z$7*$B22</f>
        <v>0</v>
      </c>
      <c r="AA22" s="666"/>
      <c r="AB22" s="18"/>
      <c r="AC22" s="243">
        <f>AC$7*$B22</f>
        <v>0</v>
      </c>
      <c r="AD22" s="666"/>
      <c r="AE22" s="18"/>
      <c r="AF22" s="243">
        <f>AF$7*$B22</f>
        <v>0</v>
      </c>
      <c r="AG22" s="666"/>
      <c r="AH22" s="18"/>
      <c r="AI22" s="243">
        <f>AI$7*$B22</f>
        <v>0</v>
      </c>
      <c r="AJ22" s="666"/>
      <c r="AK22" s="18"/>
      <c r="AL22" s="243">
        <f>AL$7*$B22</f>
        <v>0</v>
      </c>
      <c r="AS22" s="661"/>
    </row>
    <row r="23" spans="1:45" s="348" customFormat="1" ht="19.2" customHeight="1" x14ac:dyDescent="0.3">
      <c r="A23" s="671" t="str">
        <f>'VAT next yrs'!A45</f>
        <v>Australia</v>
      </c>
      <c r="B23" s="551">
        <f>'Users 1st year'!E16</f>
        <v>0</v>
      </c>
      <c r="C23" s="354"/>
      <c r="D23" s="656"/>
      <c r="E23" s="243">
        <f t="shared" si="15"/>
        <v>0</v>
      </c>
      <c r="F23" s="666"/>
      <c r="G23" s="18"/>
      <c r="H23" s="243">
        <f t="shared" ref="H23:H24" si="16">H$7*$B23</f>
        <v>0</v>
      </c>
      <c r="I23" s="666"/>
      <c r="J23" s="18"/>
      <c r="K23" s="243">
        <f t="shared" ref="K23:K24" si="17">K$7*$B23</f>
        <v>0</v>
      </c>
      <c r="L23" s="666"/>
      <c r="M23" s="18"/>
      <c r="N23" s="243">
        <f t="shared" ref="N23:N24" si="18">N$7*$B23</f>
        <v>0</v>
      </c>
      <c r="O23" s="666"/>
      <c r="P23" s="18"/>
      <c r="Q23" s="243">
        <f t="shared" ref="Q23:Q24" si="19">Q$7*$B23</f>
        <v>0</v>
      </c>
      <c r="R23" s="666"/>
      <c r="S23" s="18"/>
      <c r="T23" s="243">
        <f t="shared" ref="T23:T24" si="20">T$7*$B23</f>
        <v>0</v>
      </c>
      <c r="U23" s="666"/>
      <c r="V23" s="18"/>
      <c r="W23" s="243">
        <f t="shared" ref="W23:W24" si="21">W$7*$B23</f>
        <v>0</v>
      </c>
      <c r="X23" s="666"/>
      <c r="Y23" s="18"/>
      <c r="Z23" s="243">
        <f t="shared" ref="Z23:Z24" si="22">Z$7*$B23</f>
        <v>0</v>
      </c>
      <c r="AA23" s="666"/>
      <c r="AB23" s="18"/>
      <c r="AC23" s="243">
        <f t="shared" ref="AC23:AC24" si="23">AC$7*$B23</f>
        <v>0</v>
      </c>
      <c r="AD23" s="666"/>
      <c r="AE23" s="18"/>
      <c r="AF23" s="243">
        <f t="shared" ref="AF23:AF24" si="24">AF$7*$B23</f>
        <v>0</v>
      </c>
      <c r="AG23" s="666"/>
      <c r="AH23" s="18"/>
      <c r="AI23" s="243">
        <f t="shared" ref="AI23:AI24" si="25">AI$7*$B23</f>
        <v>0</v>
      </c>
      <c r="AJ23" s="666"/>
      <c r="AK23" s="18"/>
      <c r="AL23" s="243">
        <f t="shared" ref="AL23:AL24" si="26">AL$7*$B23</f>
        <v>0</v>
      </c>
      <c r="AS23" s="562"/>
    </row>
    <row r="24" spans="1:45" s="348" customFormat="1" ht="19.2" customHeight="1" x14ac:dyDescent="0.3">
      <c r="A24" s="671" t="str">
        <f>'VAT next yrs'!A46</f>
        <v>New Zealand</v>
      </c>
      <c r="B24" s="556">
        <f>'Users 1st year'!E17</f>
        <v>0</v>
      </c>
      <c r="C24" s="354"/>
      <c r="D24" s="656"/>
      <c r="E24" s="665">
        <f t="shared" si="15"/>
        <v>0</v>
      </c>
      <c r="F24" s="666"/>
      <c r="G24" s="18"/>
      <c r="H24" s="665">
        <f t="shared" si="16"/>
        <v>0</v>
      </c>
      <c r="I24" s="666"/>
      <c r="J24" s="18"/>
      <c r="K24" s="665">
        <f t="shared" si="17"/>
        <v>0</v>
      </c>
      <c r="L24" s="666"/>
      <c r="M24" s="18"/>
      <c r="N24" s="665">
        <f t="shared" si="18"/>
        <v>0</v>
      </c>
      <c r="O24" s="666"/>
      <c r="P24" s="18"/>
      <c r="Q24" s="665">
        <f t="shared" si="19"/>
        <v>0</v>
      </c>
      <c r="R24" s="666"/>
      <c r="S24" s="18"/>
      <c r="T24" s="665">
        <f t="shared" si="20"/>
        <v>0</v>
      </c>
      <c r="U24" s="666"/>
      <c r="V24" s="18"/>
      <c r="W24" s="665">
        <f t="shared" si="21"/>
        <v>0</v>
      </c>
      <c r="X24" s="666"/>
      <c r="Y24" s="18"/>
      <c r="Z24" s="665">
        <f t="shared" si="22"/>
        <v>0</v>
      </c>
      <c r="AA24" s="666"/>
      <c r="AB24" s="18"/>
      <c r="AC24" s="665">
        <f t="shared" si="23"/>
        <v>0</v>
      </c>
      <c r="AD24" s="666"/>
      <c r="AE24" s="18"/>
      <c r="AF24" s="665">
        <f t="shared" si="24"/>
        <v>0</v>
      </c>
      <c r="AG24" s="666"/>
      <c r="AH24" s="18"/>
      <c r="AI24" s="665">
        <f t="shared" si="25"/>
        <v>0</v>
      </c>
      <c r="AJ24" s="666"/>
      <c r="AK24" s="18"/>
      <c r="AL24" s="665">
        <f t="shared" si="26"/>
        <v>0</v>
      </c>
      <c r="AS24" s="562"/>
    </row>
    <row r="25" spans="1:45" s="861" customFormat="1" ht="22.2" customHeight="1" x14ac:dyDescent="0.3">
      <c r="A25" s="857"/>
      <c r="B25" s="858">
        <f>SUM(B18:B24)</f>
        <v>1</v>
      </c>
      <c r="C25" s="356"/>
      <c r="D25" s="859"/>
      <c r="E25" s="860">
        <f>SUM(E18:E24)</f>
        <v>82.9</v>
      </c>
      <c r="F25" s="356"/>
      <c r="G25" s="859"/>
      <c r="H25" s="860">
        <f>SUM(H18:H24)</f>
        <v>131.315</v>
      </c>
      <c r="I25" s="356"/>
      <c r="J25" s="859"/>
      <c r="K25" s="860">
        <f>SUM(K18:K24)</f>
        <v>2278.4255000000003</v>
      </c>
      <c r="L25" s="356"/>
      <c r="M25" s="859"/>
      <c r="N25" s="860">
        <f>SUM(N18:N24)</f>
        <v>3845.29286</v>
      </c>
      <c r="O25" s="356"/>
      <c r="P25" s="859"/>
      <c r="Q25" s="860">
        <f>SUM(Q18:Q24)</f>
        <v>5343.5730413999991</v>
      </c>
      <c r="R25" s="356"/>
      <c r="S25" s="859"/>
      <c r="T25" s="860">
        <f>SUM(T18:T24)</f>
        <v>5994.5087622999999</v>
      </c>
      <c r="U25" s="356"/>
      <c r="V25" s="859"/>
      <c r="W25" s="860">
        <f>SUM(W18:W24)</f>
        <v>6564.7924270999993</v>
      </c>
      <c r="X25" s="356"/>
      <c r="Y25" s="859"/>
      <c r="Z25" s="860">
        <f>SUM(Z18:Z24)</f>
        <v>7613.9228367885007</v>
      </c>
      <c r="AA25" s="356"/>
      <c r="AB25" s="859"/>
      <c r="AC25" s="860">
        <f>SUM(AC18:AC24)</f>
        <v>8536.2199737913343</v>
      </c>
      <c r="AD25" s="356"/>
      <c r="AE25" s="859"/>
      <c r="AF25" s="860">
        <f>SUM(AF18:AF24)</f>
        <v>9312.3029679066676</v>
      </c>
      <c r="AG25" s="356"/>
      <c r="AH25" s="859"/>
      <c r="AI25" s="860">
        <f>SUM(AI18:AI24)</f>
        <v>9983.1394057580055</v>
      </c>
      <c r="AJ25" s="356"/>
      <c r="AK25" s="859"/>
      <c r="AL25" s="860">
        <f>SUM(AL18:AL24)</f>
        <v>10549.283432867142</v>
      </c>
      <c r="AS25" s="862"/>
    </row>
    <row r="26" spans="1:45" s="348" customFormat="1" ht="10.199999999999999" customHeight="1" x14ac:dyDescent="0.3">
      <c r="A26" s="656"/>
      <c r="B26" s="562"/>
      <c r="D26" s="656"/>
      <c r="G26" s="656"/>
      <c r="J26" s="656"/>
      <c r="M26" s="656"/>
      <c r="P26" s="656"/>
      <c r="S26" s="656"/>
      <c r="V26" s="656"/>
      <c r="Y26" s="656"/>
      <c r="AB26" s="656"/>
      <c r="AE26" s="656"/>
      <c r="AH26" s="656"/>
      <c r="AK26" s="656"/>
      <c r="AS26" s="562"/>
    </row>
    <row r="27" spans="1:45" ht="19.2" customHeight="1" x14ac:dyDescent="0.3">
      <c r="A27" s="656"/>
      <c r="B27" s="170"/>
    </row>
    <row r="28" spans="1:45" ht="19.2" customHeight="1" x14ac:dyDescent="0.3">
      <c r="A28" s="29"/>
    </row>
    <row r="35" spans="2:45" s="14" customFormat="1" x14ac:dyDescent="0.3">
      <c r="B35" s="23"/>
      <c r="D35" s="19"/>
      <c r="G35" s="19"/>
      <c r="J35" s="19"/>
      <c r="M35" s="19"/>
      <c r="P35" s="19"/>
      <c r="S35" s="19"/>
      <c r="V35" s="19"/>
      <c r="Y35" s="19"/>
      <c r="AB35" s="19"/>
      <c r="AE35" s="19"/>
      <c r="AH35" s="19"/>
      <c r="AK35" s="19"/>
      <c r="AS35" s="171"/>
    </row>
  </sheetData>
  <mergeCells count="25">
    <mergeCell ref="AG17:AI17"/>
    <mergeCell ref="AJ17:AL17"/>
    <mergeCell ref="R17:T17"/>
    <mergeCell ref="U17:W17"/>
    <mergeCell ref="X17:Z17"/>
    <mergeCell ref="AA17:AC17"/>
    <mergeCell ref="AD17:AF17"/>
    <mergeCell ref="C17:E17"/>
    <mergeCell ref="F17:H17"/>
    <mergeCell ref="I17:K17"/>
    <mergeCell ref="L17:N17"/>
    <mergeCell ref="O17:Q17"/>
    <mergeCell ref="O1:Q1"/>
    <mergeCell ref="AN1:AO1"/>
    <mergeCell ref="C1:E1"/>
    <mergeCell ref="F1:H1"/>
    <mergeCell ref="I1:K1"/>
    <mergeCell ref="L1:N1"/>
    <mergeCell ref="AJ1:AL1"/>
    <mergeCell ref="R1:T1"/>
    <mergeCell ref="U1:W1"/>
    <mergeCell ref="X1:Z1"/>
    <mergeCell ref="AA1:AC1"/>
    <mergeCell ref="AD1:AF1"/>
    <mergeCell ref="AG1:AI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89937-525D-4DF6-B15F-379924AC6898}">
  <dimension ref="A1:AW79"/>
  <sheetViews>
    <sheetView workbookViewId="0">
      <pane ySplit="2" topLeftCell="A3" activePane="bottomLeft" state="frozen"/>
      <selection pane="bottomLeft" activeCell="M9" sqref="M9"/>
    </sheetView>
  </sheetViews>
  <sheetFormatPr defaultRowHeight="12.6" x14ac:dyDescent="0.3"/>
  <cols>
    <col min="1" max="1" width="18.33203125" style="16" customWidth="1"/>
    <col min="2" max="2" width="6.44140625" style="16" customWidth="1"/>
    <col min="3" max="3" width="7.109375" style="16" customWidth="1"/>
    <col min="4" max="4" width="5.5546875" style="16" customWidth="1"/>
    <col min="5" max="5" width="8" style="16" customWidth="1"/>
    <col min="6" max="6" width="6.33203125" style="16" customWidth="1"/>
    <col min="7" max="7" width="6.44140625" style="16" customWidth="1"/>
    <col min="8" max="8" width="7.109375" style="16" customWidth="1"/>
    <col min="9" max="9" width="5.5546875" style="16" customWidth="1"/>
    <col min="10" max="10" width="8" style="16" customWidth="1"/>
    <col min="11" max="11" width="6.33203125" style="16" customWidth="1"/>
    <col min="12" max="12" width="6.44140625" style="16" customWidth="1"/>
    <col min="13" max="13" width="7.109375" style="16" customWidth="1"/>
    <col min="14" max="14" width="5.5546875" style="16" customWidth="1"/>
    <col min="15" max="15" width="8" style="16" customWidth="1"/>
    <col min="16" max="16" width="6.33203125" style="16" customWidth="1"/>
    <col min="17" max="17" width="6.44140625" style="16" customWidth="1"/>
    <col min="18" max="18" width="7.109375" style="16" customWidth="1"/>
    <col min="19" max="19" width="5.5546875" style="16" customWidth="1"/>
    <col min="20" max="20" width="8" style="16" customWidth="1"/>
    <col min="21" max="21" width="6.33203125" style="16" customWidth="1"/>
    <col min="22" max="22" width="6.44140625" style="16" customWidth="1"/>
    <col min="23" max="23" width="7.109375" style="16" customWidth="1"/>
    <col min="24" max="24" width="5.5546875" style="16" customWidth="1"/>
    <col min="25" max="25" width="9.77734375" style="16" customWidth="1"/>
    <col min="26" max="26" width="6.33203125" style="16" customWidth="1"/>
    <col min="27" max="16384" width="8.88671875" style="16"/>
  </cols>
  <sheetData>
    <row r="1" spans="1:49" s="700" customFormat="1" ht="26.4" customHeight="1" x14ac:dyDescent="0.3">
      <c r="A1" s="706" t="s">
        <v>231</v>
      </c>
      <c r="B1" s="996" t="s">
        <v>22</v>
      </c>
      <c r="C1" s="997"/>
      <c r="D1" s="997"/>
      <c r="E1" s="997"/>
      <c r="F1" s="998"/>
      <c r="G1" s="996" t="s">
        <v>23</v>
      </c>
      <c r="H1" s="997"/>
      <c r="I1" s="997"/>
      <c r="J1" s="997"/>
      <c r="K1" s="998"/>
      <c r="L1" s="996" t="s">
        <v>24</v>
      </c>
      <c r="M1" s="997"/>
      <c r="N1" s="997"/>
      <c r="O1" s="997"/>
      <c r="P1" s="998"/>
      <c r="Q1" s="996" t="s">
        <v>142</v>
      </c>
      <c r="R1" s="997"/>
      <c r="S1" s="997"/>
      <c r="T1" s="997"/>
      <c r="U1" s="998"/>
      <c r="V1" s="996" t="s">
        <v>144</v>
      </c>
      <c r="W1" s="997"/>
      <c r="X1" s="997"/>
      <c r="Y1" s="997"/>
      <c r="Z1" s="998"/>
    </row>
    <row r="2" spans="1:49" s="702" customFormat="1" ht="26.4" customHeight="1" x14ac:dyDescent="0.3">
      <c r="A2" s="707"/>
      <c r="B2" s="701" t="s">
        <v>100</v>
      </c>
      <c r="C2" s="702" t="s">
        <v>99</v>
      </c>
      <c r="D2" s="702" t="s">
        <v>143</v>
      </c>
      <c r="E2" s="702" t="s">
        <v>25</v>
      </c>
      <c r="F2" s="703" t="s">
        <v>286</v>
      </c>
      <c r="G2" s="701" t="s">
        <v>100</v>
      </c>
      <c r="H2" s="702" t="s">
        <v>99</v>
      </c>
      <c r="I2" s="702" t="s">
        <v>143</v>
      </c>
      <c r="J2" s="702" t="s">
        <v>25</v>
      </c>
      <c r="K2" s="703" t="s">
        <v>286</v>
      </c>
      <c r="L2" s="701" t="s">
        <v>100</v>
      </c>
      <c r="M2" s="702" t="s">
        <v>99</v>
      </c>
      <c r="N2" s="702" t="s">
        <v>143</v>
      </c>
      <c r="O2" s="702" t="s">
        <v>25</v>
      </c>
      <c r="P2" s="703" t="s">
        <v>286</v>
      </c>
      <c r="Q2" s="701" t="s">
        <v>100</v>
      </c>
      <c r="R2" s="702" t="s">
        <v>99</v>
      </c>
      <c r="S2" s="702" t="s">
        <v>143</v>
      </c>
      <c r="T2" s="702" t="s">
        <v>25</v>
      </c>
      <c r="U2" s="703" t="s">
        <v>286</v>
      </c>
      <c r="V2" s="701" t="s">
        <v>100</v>
      </c>
      <c r="W2" s="702" t="s">
        <v>99</v>
      </c>
      <c r="X2" s="702" t="s">
        <v>143</v>
      </c>
      <c r="Y2" s="702" t="s">
        <v>25</v>
      </c>
      <c r="Z2" s="703" t="s">
        <v>286</v>
      </c>
      <c r="AB2" s="705"/>
      <c r="AC2" s="705"/>
      <c r="AD2" s="705"/>
      <c r="AE2" s="705"/>
      <c r="AF2" s="705"/>
      <c r="AG2" s="705"/>
      <c r="AH2" s="705"/>
      <c r="AI2" s="705"/>
      <c r="AJ2" s="705"/>
      <c r="AK2" s="705"/>
      <c r="AL2" s="705"/>
      <c r="AM2" s="705"/>
      <c r="AN2" s="705"/>
      <c r="AO2" s="705"/>
      <c r="AP2" s="705"/>
      <c r="AQ2" s="705"/>
      <c r="AR2" s="705"/>
      <c r="AS2" s="705"/>
      <c r="AU2" s="705"/>
      <c r="AV2" s="705"/>
      <c r="AW2" s="704"/>
    </row>
    <row r="3" spans="1:49" ht="24" customHeight="1" x14ac:dyDescent="0.3">
      <c r="A3" s="17" t="s">
        <v>95</v>
      </c>
      <c r="B3" s="175">
        <f>'Sales 1st yr'!B3</f>
        <v>0</v>
      </c>
      <c r="C3" s="66">
        <f>'Sales 1st yr'!AN3</f>
        <v>30859.985940561499</v>
      </c>
      <c r="D3" s="65" t="s">
        <v>148</v>
      </c>
      <c r="E3" s="95">
        <f>B3*C3</f>
        <v>0</v>
      </c>
      <c r="F3" s="554">
        <f>E3/E7</f>
        <v>0</v>
      </c>
      <c r="G3" s="175">
        <f>B3*1.05</f>
        <v>0</v>
      </c>
      <c r="H3" s="66">
        <f>'Users next years'!K3</f>
        <v>75024.155611713824</v>
      </c>
      <c r="I3" s="172" t="s">
        <v>148</v>
      </c>
      <c r="J3" s="95">
        <f>G3*H3</f>
        <v>0</v>
      </c>
      <c r="K3" s="554">
        <f>J3/J7</f>
        <v>0</v>
      </c>
      <c r="L3" s="175">
        <f>G3*1.05</f>
        <v>0</v>
      </c>
      <c r="M3" s="66">
        <f>'Users next years'!O3</f>
        <v>98943.223805752466</v>
      </c>
      <c r="N3" s="172" t="s">
        <v>148</v>
      </c>
      <c r="O3" s="95">
        <f>L3*M3</f>
        <v>0</v>
      </c>
      <c r="P3" s="554">
        <f>O3/O7</f>
        <v>0</v>
      </c>
      <c r="Q3" s="175">
        <f>L3*1.05</f>
        <v>0</v>
      </c>
      <c r="R3" s="66">
        <f>'Users next years'!S3</f>
        <v>137020.31112710957</v>
      </c>
      <c r="S3" s="172" t="s">
        <v>148</v>
      </c>
      <c r="T3" s="95">
        <f>Q3*R3</f>
        <v>0</v>
      </c>
      <c r="U3" s="554">
        <f>T3/T7</f>
        <v>0</v>
      </c>
      <c r="V3" s="175">
        <f>Q3*1.05</f>
        <v>0</v>
      </c>
      <c r="W3" s="66">
        <f>'Users next years'!W3</f>
        <v>182794.61168800251</v>
      </c>
      <c r="X3" s="172" t="s">
        <v>148</v>
      </c>
      <c r="Y3" s="95">
        <f t="shared" ref="Y3:Y5" si="0">V3*W3</f>
        <v>0</v>
      </c>
      <c r="Z3" s="554">
        <f>Y3/Y7</f>
        <v>0</v>
      </c>
    </row>
    <row r="4" spans="1:49" ht="24" customHeight="1" x14ac:dyDescent="0.3">
      <c r="A4" s="17" t="s">
        <v>96</v>
      </c>
      <c r="B4" s="175">
        <f>'Sales 1st yr'!B4</f>
        <v>27.95</v>
      </c>
      <c r="C4" s="66">
        <f>'Sales 1st yr'!AN4</f>
        <v>1696.7751229459632</v>
      </c>
      <c r="D4" s="65" t="s">
        <v>148</v>
      </c>
      <c r="E4" s="95">
        <f>B4*C4</f>
        <v>47424.864686339672</v>
      </c>
      <c r="F4" s="554">
        <f>E4/E7</f>
        <v>0.67522471836040387</v>
      </c>
      <c r="G4" s="175">
        <f>B4*1.05</f>
        <v>29.3475</v>
      </c>
      <c r="H4" s="66">
        <f>'Users next years'!K4</f>
        <v>3973.2538712204087</v>
      </c>
      <c r="I4" s="172">
        <f>(H4-C4)/C4</f>
        <v>1.3416502384370141</v>
      </c>
      <c r="J4" s="95">
        <f>G4*H4</f>
        <v>116605.06798564094</v>
      </c>
      <c r="K4" s="554">
        <f>J4/J7</f>
        <v>0.64255592258898897</v>
      </c>
      <c r="L4" s="175">
        <f>G4*1.05</f>
        <v>30.814875000000001</v>
      </c>
      <c r="M4" s="66">
        <f>'Users next years'!O4</f>
        <v>7703.1702152086818</v>
      </c>
      <c r="N4" s="172">
        <f>(M4-H4)/H4</f>
        <v>0.93875610894267048</v>
      </c>
      <c r="O4" s="95">
        <f>L4*M4</f>
        <v>237372.22728537864</v>
      </c>
      <c r="P4" s="554">
        <f>O4/O7</f>
        <v>0.59079971941013742</v>
      </c>
      <c r="Q4" s="175">
        <f>L4*1.05</f>
        <v>32.355618750000005</v>
      </c>
      <c r="R4" s="66">
        <f>'Users next years'!S4</f>
        <v>13140.960642080106</v>
      </c>
      <c r="S4" s="172">
        <f>(R4-M4)/M4</f>
        <v>0.70591591188461267</v>
      </c>
      <c r="T4" s="95">
        <f>Q4*R4</f>
        <v>425183.91254389921</v>
      </c>
      <c r="U4" s="554">
        <f>T4/T7</f>
        <v>0.55420382883379771</v>
      </c>
      <c r="V4" s="175">
        <f t="shared" ref="V4:V5" si="1">Q4*1.05</f>
        <v>33.973399687500006</v>
      </c>
      <c r="W4" s="66">
        <f>'Users next years'!W4</f>
        <v>20382.207259011357</v>
      </c>
      <c r="X4" s="172">
        <f>(W4-R4)/R4</f>
        <v>0.55104393157858356</v>
      </c>
      <c r="Y4" s="95">
        <f t="shared" si="0"/>
        <v>692452.87372385676</v>
      </c>
      <c r="Z4" s="554">
        <f>Y4/Y7</f>
        <v>0.52752556298178743</v>
      </c>
      <c r="AA4" s="28"/>
    </row>
    <row r="5" spans="1:49" ht="24" customHeight="1" x14ac:dyDescent="0.3">
      <c r="A5" s="17" t="s">
        <v>97</v>
      </c>
      <c r="B5" s="175">
        <f>'Sales 1st yr'!B5</f>
        <v>39.950000000000003</v>
      </c>
      <c r="C5" s="66">
        <f>'Sales 1st yr'!AN5</f>
        <v>432.23307938853526</v>
      </c>
      <c r="D5" s="65" t="s">
        <v>148</v>
      </c>
      <c r="E5" s="95">
        <f>B5*C5</f>
        <v>17267.711521571986</v>
      </c>
      <c r="F5" s="554">
        <f>E5/E7</f>
        <v>0.24585385168722665</v>
      </c>
      <c r="G5" s="175">
        <f>B5*1.05</f>
        <v>41.947500000000005</v>
      </c>
      <c r="H5" s="66">
        <f>'Users next years'!K5</f>
        <v>1429.3876619117073</v>
      </c>
      <c r="I5" s="172">
        <f>(H5-C5)/C5</f>
        <v>2.3069835005081312</v>
      </c>
      <c r="J5" s="95">
        <f>G5*H5</f>
        <v>59959.238948041348</v>
      </c>
      <c r="K5" s="554">
        <f>J5/J7</f>
        <v>0.33040728645462208</v>
      </c>
      <c r="L5" s="175">
        <f>G5*1.05</f>
        <v>44.044875000000005</v>
      </c>
      <c r="M5" s="66">
        <f>'Users next years'!O5</f>
        <v>3565.8627019568626</v>
      </c>
      <c r="N5" s="172">
        <f>(M5-H5)/H5</f>
        <v>1.4946785235208813</v>
      </c>
      <c r="O5" s="95">
        <f>L5*M5</f>
        <v>157057.9769748523</v>
      </c>
      <c r="P5" s="554">
        <f>O5/O7</f>
        <v>0.39090423420222131</v>
      </c>
      <c r="Q5" s="175">
        <f>L5*1.05</f>
        <v>46.247118750000006</v>
      </c>
      <c r="R5" s="66">
        <f>'Users next years'!S5</f>
        <v>7178.2669138169604</v>
      </c>
      <c r="S5" s="172">
        <f>(R5-M5)/M5</f>
        <v>1.0130519635199904</v>
      </c>
      <c r="T5" s="95">
        <f>Q5*R5</f>
        <v>331974.16238248901</v>
      </c>
      <c r="U5" s="554">
        <f>T5/T7</f>
        <v>0.43271004955360981</v>
      </c>
      <c r="V5" s="175">
        <f t="shared" si="1"/>
        <v>48.559474687500007</v>
      </c>
      <c r="W5" s="66">
        <f>'Users next years'!W5</f>
        <v>12516.028202123809</v>
      </c>
      <c r="X5" s="172">
        <f>(W5-R5)/R5</f>
        <v>0.7436002801780125</v>
      </c>
      <c r="Y5" s="95">
        <f t="shared" si="0"/>
        <v>607771.75466906733</v>
      </c>
      <c r="Z5" s="554">
        <f>Y5/Y7</f>
        <v>0.46301365654247634</v>
      </c>
      <c r="AA5" s="28"/>
    </row>
    <row r="6" spans="1:49" ht="24" customHeight="1" x14ac:dyDescent="0.3">
      <c r="A6" s="17" t="s">
        <v>285</v>
      </c>
      <c r="B6" s="175">
        <f>'Sales 1st yr'!B6</f>
        <v>9</v>
      </c>
      <c r="C6" s="66">
        <f>'Sales 1st yr'!AN6</f>
        <v>615.9</v>
      </c>
      <c r="D6" s="65" t="s">
        <v>148</v>
      </c>
      <c r="E6" s="205">
        <f>B6*C6</f>
        <v>5543.0999999999995</v>
      </c>
      <c r="F6" s="560">
        <f>E6/E7</f>
        <v>7.8921429952369421E-2</v>
      </c>
      <c r="G6" s="175">
        <f>B6*1.05</f>
        <v>9.4500000000000011</v>
      </c>
      <c r="H6" s="66">
        <f>'Users next years'!I3*0.1</f>
        <v>519.19419757019875</v>
      </c>
      <c r="I6" s="172">
        <f>(H6-C6)/C6</f>
        <v>-0.15701542852703559</v>
      </c>
      <c r="J6" s="205">
        <f>G6*H6</f>
        <v>4906.3851670383792</v>
      </c>
      <c r="K6" s="560">
        <f>J6/J7</f>
        <v>2.7036790956388789E-2</v>
      </c>
      <c r="L6" s="175">
        <f>G6*1.05</f>
        <v>9.9225000000000012</v>
      </c>
      <c r="M6" s="66">
        <f>'Users next years'!M3*0.1</f>
        <v>740.84229695667057</v>
      </c>
      <c r="N6" s="172">
        <f>(M6-H6)/H6</f>
        <v>0.42690789000295676</v>
      </c>
      <c r="O6" s="205">
        <f>L6*M6</f>
        <v>7351.0076915525642</v>
      </c>
      <c r="P6" s="560">
        <f>O6/O7</f>
        <v>1.829604638764128E-2</v>
      </c>
      <c r="Q6" s="175">
        <f>L6*1.05</f>
        <v>10.418625000000002</v>
      </c>
      <c r="R6" s="66">
        <f>'Users next years'!Q3*0.1</f>
        <v>963.62453134496582</v>
      </c>
      <c r="S6" s="172">
        <f>(R6-M6)/M6</f>
        <v>0.30071478815865321</v>
      </c>
      <c r="T6" s="205">
        <f>Q6*R6</f>
        <v>10039.642632883946</v>
      </c>
      <c r="U6" s="560">
        <f>T6/T7</f>
        <v>1.3086121612592393E-2</v>
      </c>
      <c r="V6" s="175">
        <f>Q6*1.05</f>
        <v>10.939556250000003</v>
      </c>
      <c r="W6" s="66">
        <f>'Users next years'!U3*0.1</f>
        <v>1135.2041549076982</v>
      </c>
      <c r="X6" s="172">
        <f>(W6-R6)/R6</f>
        <v>0.1780565126577387</v>
      </c>
      <c r="Y6" s="205">
        <f>V6*W6</f>
        <v>12418.629707846481</v>
      </c>
      <c r="Z6" s="560">
        <f>Y6/Y7</f>
        <v>9.4607804757361677E-3</v>
      </c>
      <c r="AA6" s="28"/>
    </row>
    <row r="7" spans="1:49" s="179" customFormat="1" ht="30.6" customHeight="1" x14ac:dyDescent="0.3">
      <c r="A7" s="177" t="s">
        <v>47</v>
      </c>
      <c r="B7" s="178"/>
      <c r="C7" s="711"/>
      <c r="D7" s="716"/>
      <c r="E7" s="708">
        <f>SUM(E3:E6)</f>
        <v>70235.67620791166</v>
      </c>
      <c r="F7" s="717">
        <f>SUM(F3:F6)</f>
        <v>0.99999999999999989</v>
      </c>
      <c r="G7" s="178"/>
      <c r="H7" s="711"/>
      <c r="I7" s="712"/>
      <c r="J7" s="708">
        <f>SUM(J3:J6)</f>
        <v>181470.69210072068</v>
      </c>
      <c r="K7" s="717">
        <f>SUM(K3:K6)</f>
        <v>0.99999999999999989</v>
      </c>
      <c r="L7" s="178"/>
      <c r="M7" s="711"/>
      <c r="N7" s="712"/>
      <c r="O7" s="708">
        <f>SUM(O3:O6)</f>
        <v>401781.21195178351</v>
      </c>
      <c r="P7" s="717">
        <f>SUM(P3:P6)</f>
        <v>1</v>
      </c>
      <c r="Q7" s="178"/>
      <c r="R7" s="711"/>
      <c r="S7" s="712"/>
      <c r="T7" s="708">
        <f>SUM(T3:T6)</f>
        <v>767197.71755927219</v>
      </c>
      <c r="U7" s="717">
        <f>SUM(U3:U6)</f>
        <v>0.99999999999999989</v>
      </c>
      <c r="V7" s="178"/>
      <c r="W7" s="711"/>
      <c r="X7" s="712"/>
      <c r="Y7" s="708">
        <f>SUM(Y3:Y6)</f>
        <v>1312643.2581007706</v>
      </c>
      <c r="Z7" s="717">
        <f>SUM(Z3:Z6)</f>
        <v>0.99999999999999989</v>
      </c>
    </row>
    <row r="8" spans="1:49" ht="24" customHeight="1" x14ac:dyDescent="0.3">
      <c r="A8" s="180"/>
      <c r="B8" s="181"/>
      <c r="C8" s="66"/>
      <c r="D8" s="182"/>
      <c r="E8" s="334"/>
      <c r="F8" s="554"/>
      <c r="G8" s="181"/>
      <c r="H8" s="66"/>
      <c r="I8" s="713"/>
      <c r="J8" s="334"/>
      <c r="K8" s="554"/>
      <c r="L8" s="183"/>
      <c r="N8" s="713"/>
      <c r="O8" s="334"/>
      <c r="P8" s="554"/>
      <c r="Q8" s="183"/>
      <c r="S8" s="713"/>
      <c r="T8" s="334"/>
      <c r="U8" s="554"/>
      <c r="V8" s="183"/>
      <c r="X8" s="713"/>
      <c r="Y8" s="334"/>
      <c r="Z8" s="554"/>
    </row>
    <row r="9" spans="1:49" ht="22.8" customHeight="1" x14ac:dyDescent="0.3">
      <c r="A9" s="184" t="s">
        <v>106</v>
      </c>
      <c r="B9" s="181"/>
      <c r="C9" s="66"/>
      <c r="D9" s="182"/>
      <c r="E9" s="334"/>
      <c r="F9" s="554"/>
      <c r="G9" s="181"/>
      <c r="H9" s="66"/>
      <c r="I9" s="713"/>
      <c r="J9" s="334"/>
      <c r="K9" s="554"/>
      <c r="L9" s="183"/>
      <c r="N9" s="713"/>
      <c r="O9" s="334"/>
      <c r="P9" s="554"/>
      <c r="Q9" s="183"/>
      <c r="S9" s="713"/>
      <c r="T9" s="334"/>
      <c r="U9" s="554"/>
      <c r="V9" s="183"/>
      <c r="X9" s="713"/>
      <c r="Y9" s="334"/>
      <c r="Z9" s="554"/>
    </row>
    <row r="10" spans="1:49" ht="22.8" customHeight="1" x14ac:dyDescent="0.3">
      <c r="A10" s="185" t="s">
        <v>107</v>
      </c>
      <c r="B10" s="175">
        <f>'Sales 1st yr'!B11</f>
        <v>27.95</v>
      </c>
      <c r="C10" s="66">
        <f>'Sales 1st yr'!AN11</f>
        <v>12</v>
      </c>
      <c r="D10" s="182" t="s">
        <v>148</v>
      </c>
      <c r="E10" s="95">
        <f>-B10*C10</f>
        <v>-335.4</v>
      </c>
      <c r="F10" s="721" t="s">
        <v>148</v>
      </c>
      <c r="G10" s="175">
        <f>B10*1.05</f>
        <v>29.3475</v>
      </c>
      <c r="H10" s="66">
        <f>C10*1.5</f>
        <v>18</v>
      </c>
      <c r="I10" s="172">
        <f>(H10-C10)/C10</f>
        <v>0.5</v>
      </c>
      <c r="J10" s="95">
        <f>-G10*H10</f>
        <v>-528.255</v>
      </c>
      <c r="K10" s="721" t="s">
        <v>148</v>
      </c>
      <c r="L10" s="175">
        <f>G10*1.05</f>
        <v>30.814875000000001</v>
      </c>
      <c r="M10" s="66">
        <f>H10*1.5</f>
        <v>27</v>
      </c>
      <c r="N10" s="172">
        <f>(M10-H10)/H10</f>
        <v>0.5</v>
      </c>
      <c r="O10" s="95">
        <f>-L10*M10</f>
        <v>-832.00162499999999</v>
      </c>
      <c r="P10" s="721" t="s">
        <v>148</v>
      </c>
      <c r="Q10" s="175">
        <f>L10*1.05</f>
        <v>32.355618750000005</v>
      </c>
      <c r="R10" s="66">
        <f>M10*1.3</f>
        <v>35.1</v>
      </c>
      <c r="S10" s="172">
        <f>(R10-M10)/M10</f>
        <v>0.30000000000000004</v>
      </c>
      <c r="T10" s="95">
        <f>-Q10*R10</f>
        <v>-1135.6822181250002</v>
      </c>
      <c r="U10" s="721" t="s">
        <v>148</v>
      </c>
      <c r="V10" s="175">
        <f t="shared" ref="V10:V11" si="2">Q10*1.05</f>
        <v>33.973399687500006</v>
      </c>
      <c r="W10" s="66">
        <f>R10*1.15</f>
        <v>40.365000000000002</v>
      </c>
      <c r="X10" s="172">
        <f>(W10-R10)/R10</f>
        <v>0.15000000000000002</v>
      </c>
      <c r="Y10" s="95">
        <f>-V10*W10</f>
        <v>-1371.3362783859377</v>
      </c>
      <c r="Z10" s="721" t="s">
        <v>148</v>
      </c>
    </row>
    <row r="11" spans="1:49" ht="22.8" customHeight="1" x14ac:dyDescent="0.3">
      <c r="A11" s="185" t="s">
        <v>108</v>
      </c>
      <c r="B11" s="175">
        <f>'Sales 1st yr'!B12</f>
        <v>39.950000000000003</v>
      </c>
      <c r="C11" s="66">
        <f>'Sales 1st yr'!AN12</f>
        <v>0</v>
      </c>
      <c r="D11" s="182" t="s">
        <v>148</v>
      </c>
      <c r="E11" s="205">
        <f>-B11*C11</f>
        <v>0</v>
      </c>
      <c r="F11" s="721" t="s">
        <v>148</v>
      </c>
      <c r="G11" s="175">
        <f>B11*1.05</f>
        <v>41.947500000000005</v>
      </c>
      <c r="H11" s="66">
        <f>C11*1.5</f>
        <v>0</v>
      </c>
      <c r="I11" s="172"/>
      <c r="J11" s="205">
        <f>-G11*H11</f>
        <v>0</v>
      </c>
      <c r="K11" s="721" t="s">
        <v>148</v>
      </c>
      <c r="L11" s="175">
        <f>G11*1.05</f>
        <v>44.044875000000005</v>
      </c>
      <c r="M11" s="66">
        <f>H11*1.5</f>
        <v>0</v>
      </c>
      <c r="N11" s="172"/>
      <c r="O11" s="205">
        <f>-L11*M11</f>
        <v>0</v>
      </c>
      <c r="P11" s="721" t="s">
        <v>148</v>
      </c>
      <c r="Q11" s="175">
        <f>L11*1.05</f>
        <v>46.247118750000006</v>
      </c>
      <c r="R11" s="66">
        <f>M11*1.3</f>
        <v>0</v>
      </c>
      <c r="S11" s="172"/>
      <c r="T11" s="205">
        <f>-Q11*R11</f>
        <v>0</v>
      </c>
      <c r="U11" s="721" t="s">
        <v>148</v>
      </c>
      <c r="V11" s="175">
        <f t="shared" si="2"/>
        <v>48.559474687500007</v>
      </c>
      <c r="W11" s="66">
        <f>R11*1.15</f>
        <v>0</v>
      </c>
      <c r="X11" s="172"/>
      <c r="Y11" s="205">
        <f>-V11*W11</f>
        <v>0</v>
      </c>
      <c r="Z11" s="721" t="s">
        <v>148</v>
      </c>
    </row>
    <row r="12" spans="1:49" s="189" customFormat="1" ht="22.8" customHeight="1" x14ac:dyDescent="0.3">
      <c r="A12" s="186" t="s">
        <v>109</v>
      </c>
      <c r="B12" s="187"/>
      <c r="C12" s="715"/>
      <c r="D12" s="718"/>
      <c r="E12" s="709">
        <f>SUM(E10:E11)</f>
        <v>-335.4</v>
      </c>
      <c r="F12" s="719"/>
      <c r="G12" s="187"/>
      <c r="H12" s="715"/>
      <c r="I12" s="714"/>
      <c r="J12" s="709">
        <f>SUM(J10:J11)</f>
        <v>-528.255</v>
      </c>
      <c r="K12" s="719"/>
      <c r="L12" s="188"/>
      <c r="N12" s="714"/>
      <c r="O12" s="709">
        <f>SUM(O10:O11)</f>
        <v>-832.00162499999999</v>
      </c>
      <c r="P12" s="719"/>
      <c r="Q12" s="188"/>
      <c r="S12" s="714"/>
      <c r="T12" s="709">
        <f>SUM(T10:T11)</f>
        <v>-1135.6822181250002</v>
      </c>
      <c r="U12" s="719"/>
      <c r="V12" s="188"/>
      <c r="X12" s="714"/>
      <c r="Y12" s="709">
        <f>SUM(Y10:Y11)</f>
        <v>-1371.3362783859377</v>
      </c>
      <c r="Z12" s="719"/>
    </row>
    <row r="13" spans="1:49" ht="14.4" customHeight="1" x14ac:dyDescent="0.3">
      <c r="A13" s="190"/>
      <c r="B13" s="181"/>
      <c r="C13" s="66"/>
      <c r="D13" s="182"/>
      <c r="E13" s="95"/>
      <c r="F13" s="554"/>
      <c r="G13" s="181"/>
      <c r="H13" s="66"/>
      <c r="I13" s="172"/>
      <c r="J13" s="95"/>
      <c r="K13" s="554"/>
      <c r="L13" s="183"/>
      <c r="N13" s="172"/>
      <c r="O13" s="95"/>
      <c r="P13" s="554"/>
      <c r="Q13" s="183"/>
      <c r="S13" s="172"/>
      <c r="T13" s="95"/>
      <c r="U13" s="554"/>
      <c r="V13" s="183"/>
      <c r="X13" s="172"/>
      <c r="Y13" s="95"/>
      <c r="Z13" s="554"/>
    </row>
    <row r="14" spans="1:49" s="198" customFormat="1" ht="29.4" customHeight="1" x14ac:dyDescent="0.3">
      <c r="A14" s="191" t="s">
        <v>110</v>
      </c>
      <c r="B14" s="192"/>
      <c r="C14" s="193"/>
      <c r="D14" s="194"/>
      <c r="E14" s="710">
        <f>E7+E12</f>
        <v>69900.276207911666</v>
      </c>
      <c r="F14" s="720"/>
      <c r="G14" s="192"/>
      <c r="H14" s="193"/>
      <c r="I14" s="195"/>
      <c r="J14" s="710">
        <f>J7+J12</f>
        <v>180942.43710072068</v>
      </c>
      <c r="K14" s="720"/>
      <c r="L14" s="196"/>
      <c r="M14" s="197"/>
      <c r="N14" s="195"/>
      <c r="O14" s="710">
        <f>O7+O12</f>
        <v>400949.21032678353</v>
      </c>
      <c r="P14" s="720"/>
      <c r="Q14" s="196"/>
      <c r="R14" s="197"/>
      <c r="S14" s="195"/>
      <c r="T14" s="710">
        <f>T7+T12</f>
        <v>766062.03534114722</v>
      </c>
      <c r="U14" s="720"/>
      <c r="V14" s="196"/>
      <c r="W14" s="197"/>
      <c r="X14" s="195"/>
      <c r="Y14" s="710">
        <f>Y7+Y12</f>
        <v>1311271.9218223847</v>
      </c>
      <c r="Z14" s="720"/>
    </row>
    <row r="15" spans="1:49" ht="15.6" customHeight="1" x14ac:dyDescent="0.3">
      <c r="A15" s="96"/>
      <c r="B15" s="66"/>
      <c r="C15" s="66"/>
      <c r="D15" s="182"/>
      <c r="E15" s="95"/>
      <c r="F15" s="66"/>
      <c r="G15" s="66"/>
      <c r="H15" s="66"/>
      <c r="I15" s="30"/>
      <c r="J15" s="95"/>
      <c r="K15" s="66"/>
      <c r="N15" s="30"/>
      <c r="O15" s="95"/>
      <c r="P15" s="66"/>
      <c r="S15" s="30"/>
      <c r="T15" s="95"/>
      <c r="U15" s="66"/>
      <c r="X15" s="30"/>
      <c r="Y15" s="95"/>
      <c r="Z15" s="66"/>
    </row>
    <row r="16" spans="1:49" ht="15.6" customHeight="1" x14ac:dyDescent="0.3">
      <c r="A16" s="96"/>
      <c r="B16" s="66"/>
      <c r="C16" s="66"/>
      <c r="D16" s="182"/>
      <c r="E16" s="95"/>
      <c r="F16" s="66"/>
      <c r="G16" s="66"/>
      <c r="H16" s="66"/>
      <c r="I16" s="30"/>
      <c r="J16" s="95"/>
      <c r="K16" s="66"/>
      <c r="N16" s="30"/>
      <c r="O16" s="95"/>
      <c r="P16" s="66"/>
      <c r="S16" s="30"/>
      <c r="T16" s="95"/>
      <c r="U16" s="66"/>
      <c r="X16" s="30"/>
      <c r="Y16" s="95"/>
      <c r="Z16" s="66"/>
    </row>
    <row r="17" spans="1:26" ht="18" customHeight="1" x14ac:dyDescent="0.3">
      <c r="A17" s="96"/>
      <c r="B17" s="66"/>
      <c r="C17" s="66"/>
      <c r="D17" s="65"/>
      <c r="E17" s="95"/>
      <c r="F17" s="66"/>
      <c r="G17" s="66"/>
      <c r="H17" s="66"/>
      <c r="I17" s="30"/>
      <c r="J17" s="95"/>
      <c r="K17" s="66"/>
      <c r="N17" s="30"/>
      <c r="O17" s="95"/>
      <c r="P17" s="66"/>
      <c r="S17" s="30"/>
      <c r="T17" s="95"/>
      <c r="U17" s="66"/>
      <c r="X17" s="30"/>
      <c r="Y17" s="95"/>
      <c r="Z17" s="66"/>
    </row>
    <row r="18" spans="1:26" ht="13.2" customHeight="1" x14ac:dyDescent="0.3">
      <c r="B18" s="66"/>
      <c r="C18" s="66"/>
      <c r="D18" s="30"/>
      <c r="E18" s="95"/>
      <c r="F18" s="66"/>
      <c r="G18" s="66"/>
      <c r="H18" s="66"/>
      <c r="I18" s="30"/>
      <c r="J18" s="95"/>
      <c r="K18" s="66"/>
      <c r="N18" s="30"/>
      <c r="P18" s="66"/>
      <c r="S18" s="30"/>
      <c r="U18" s="66"/>
      <c r="X18" s="30"/>
      <c r="Z18" s="66"/>
    </row>
    <row r="19" spans="1:26" ht="13.8" customHeight="1" x14ac:dyDescent="0.3">
      <c r="A19" s="77"/>
    </row>
    <row r="38" spans="2:26" ht="18" customHeight="1" x14ac:dyDescent="0.3">
      <c r="B38" s="66"/>
      <c r="C38" s="66"/>
      <c r="D38" s="30"/>
      <c r="E38" s="95"/>
      <c r="F38" s="66"/>
      <c r="G38" s="66"/>
      <c r="H38" s="66"/>
      <c r="I38" s="30"/>
      <c r="J38" s="95"/>
      <c r="K38" s="66"/>
      <c r="P38" s="66"/>
      <c r="U38" s="66"/>
      <c r="Z38" s="66"/>
    </row>
    <row r="39" spans="2:26" ht="18" customHeight="1" x14ac:dyDescent="0.3">
      <c r="B39" s="66"/>
      <c r="C39" s="66"/>
      <c r="D39" s="30"/>
      <c r="E39" s="95"/>
      <c r="F39" s="66"/>
      <c r="G39" s="66"/>
      <c r="H39" s="66"/>
      <c r="I39" s="30"/>
      <c r="K39" s="66"/>
      <c r="P39" s="66"/>
      <c r="U39" s="66"/>
      <c r="Z39" s="66"/>
    </row>
    <row r="40" spans="2:26" ht="18" customHeight="1" x14ac:dyDescent="0.3">
      <c r="B40" s="66"/>
      <c r="C40" s="66"/>
      <c r="D40" s="30"/>
      <c r="E40" s="95"/>
      <c r="F40" s="66"/>
      <c r="G40" s="66"/>
      <c r="H40" s="66"/>
      <c r="I40" s="30"/>
      <c r="K40" s="66"/>
      <c r="P40" s="66"/>
      <c r="U40" s="66"/>
      <c r="Z40" s="66"/>
    </row>
    <row r="41" spans="2:26" ht="18" customHeight="1" x14ac:dyDescent="0.3">
      <c r="B41" s="66"/>
      <c r="C41" s="66"/>
      <c r="D41" s="30"/>
      <c r="E41" s="95"/>
      <c r="F41" s="66"/>
      <c r="G41" s="66"/>
      <c r="H41" s="66"/>
      <c r="I41" s="30"/>
      <c r="K41" s="66"/>
      <c r="P41" s="66"/>
      <c r="U41" s="66"/>
      <c r="Z41" s="66"/>
    </row>
    <row r="42" spans="2:26" ht="18" customHeight="1" x14ac:dyDescent="0.3">
      <c r="B42" s="66"/>
      <c r="C42" s="66"/>
      <c r="D42" s="30"/>
      <c r="E42" s="95"/>
      <c r="F42" s="66"/>
      <c r="G42" s="66"/>
      <c r="H42" s="66"/>
      <c r="I42" s="30"/>
      <c r="K42" s="66"/>
      <c r="P42" s="66"/>
      <c r="U42" s="66"/>
      <c r="Z42" s="66"/>
    </row>
    <row r="43" spans="2:26" ht="18" customHeight="1" x14ac:dyDescent="0.3">
      <c r="B43" s="66"/>
      <c r="C43" s="66"/>
      <c r="D43" s="30"/>
      <c r="E43" s="95"/>
      <c r="F43" s="66"/>
      <c r="G43" s="66"/>
      <c r="H43" s="66"/>
      <c r="I43" s="30"/>
      <c r="K43" s="66"/>
      <c r="P43" s="66"/>
      <c r="U43" s="66"/>
      <c r="Z43" s="66"/>
    </row>
    <row r="44" spans="2:26" ht="18" customHeight="1" x14ac:dyDescent="0.3">
      <c r="B44" s="66"/>
      <c r="C44" s="66"/>
      <c r="D44" s="30"/>
      <c r="E44" s="95"/>
      <c r="F44" s="66"/>
      <c r="G44" s="66"/>
      <c r="H44" s="66"/>
      <c r="I44" s="30"/>
      <c r="K44" s="66"/>
      <c r="P44" s="66"/>
      <c r="U44" s="66"/>
      <c r="Z44" s="66"/>
    </row>
    <row r="45" spans="2:26" ht="18" customHeight="1" x14ac:dyDescent="0.3">
      <c r="B45" s="66"/>
      <c r="C45" s="66"/>
      <c r="D45" s="30"/>
      <c r="E45" s="95"/>
      <c r="F45" s="66"/>
      <c r="G45" s="66"/>
      <c r="H45" s="66"/>
      <c r="I45" s="30"/>
      <c r="K45" s="66"/>
      <c r="P45" s="66"/>
      <c r="U45" s="66"/>
      <c r="Z45" s="66"/>
    </row>
    <row r="46" spans="2:26" ht="18" customHeight="1" x14ac:dyDescent="0.3">
      <c r="B46" s="66"/>
      <c r="C46" s="66"/>
      <c r="D46" s="30"/>
      <c r="E46" s="95"/>
      <c r="F46" s="66"/>
      <c r="G46" s="66"/>
      <c r="H46" s="66"/>
      <c r="K46" s="66"/>
      <c r="P46" s="66"/>
      <c r="U46" s="66"/>
      <c r="Z46" s="66"/>
    </row>
    <row r="47" spans="2:26" ht="18" customHeight="1" x14ac:dyDescent="0.3">
      <c r="B47" s="66"/>
      <c r="C47" s="66"/>
      <c r="D47" s="30"/>
      <c r="E47" s="95"/>
      <c r="F47" s="66"/>
      <c r="G47" s="66"/>
      <c r="H47" s="66"/>
      <c r="K47" s="66"/>
      <c r="P47" s="66"/>
      <c r="U47" s="66"/>
      <c r="Z47" s="66"/>
    </row>
    <row r="48" spans="2:26" ht="18" customHeight="1" x14ac:dyDescent="0.3">
      <c r="D48" s="30"/>
      <c r="E48" s="95"/>
      <c r="G48" s="66"/>
      <c r="H48" s="66"/>
      <c r="K48" s="66"/>
      <c r="P48" s="66"/>
      <c r="U48" s="66"/>
      <c r="Z48" s="66"/>
    </row>
    <row r="49" spans="4:26" ht="18" customHeight="1" x14ac:dyDescent="0.3">
      <c r="D49" s="30"/>
      <c r="E49" s="95"/>
      <c r="G49" s="66"/>
      <c r="H49" s="66"/>
      <c r="K49" s="66"/>
      <c r="P49" s="66"/>
      <c r="U49" s="66"/>
      <c r="Z49" s="66"/>
    </row>
    <row r="50" spans="4:26" ht="18" customHeight="1" x14ac:dyDescent="0.3">
      <c r="D50" s="30"/>
      <c r="E50" s="95"/>
      <c r="G50" s="66"/>
      <c r="H50" s="66"/>
      <c r="K50" s="66"/>
      <c r="P50" s="66"/>
      <c r="U50" s="66"/>
      <c r="Z50" s="66"/>
    </row>
    <row r="51" spans="4:26" ht="18" customHeight="1" x14ac:dyDescent="0.3">
      <c r="D51" s="30"/>
      <c r="E51" s="95"/>
      <c r="G51" s="66"/>
      <c r="H51" s="66"/>
      <c r="K51" s="66"/>
      <c r="P51" s="66"/>
      <c r="U51" s="66"/>
      <c r="Z51" s="66"/>
    </row>
    <row r="52" spans="4:26" ht="18" customHeight="1" x14ac:dyDescent="0.3">
      <c r="D52" s="30"/>
      <c r="E52" s="95"/>
      <c r="G52" s="66"/>
      <c r="H52" s="66"/>
      <c r="K52" s="66"/>
      <c r="P52" s="66"/>
      <c r="U52" s="66"/>
      <c r="Z52" s="66"/>
    </row>
    <row r="53" spans="4:26" ht="18" customHeight="1" x14ac:dyDescent="0.3">
      <c r="D53" s="30"/>
      <c r="E53" s="95"/>
      <c r="G53" s="66"/>
      <c r="H53" s="66"/>
      <c r="K53" s="66"/>
      <c r="P53" s="66"/>
      <c r="U53" s="66"/>
      <c r="Z53" s="66"/>
    </row>
    <row r="54" spans="4:26" ht="18" customHeight="1" x14ac:dyDescent="0.3">
      <c r="D54" s="30"/>
      <c r="E54" s="95"/>
      <c r="G54" s="66"/>
      <c r="H54" s="66"/>
      <c r="K54" s="66"/>
      <c r="P54" s="66"/>
      <c r="U54" s="66"/>
      <c r="Z54" s="66"/>
    </row>
    <row r="55" spans="4:26" ht="18" customHeight="1" x14ac:dyDescent="0.3">
      <c r="D55" s="30"/>
      <c r="E55" s="95"/>
      <c r="G55" s="66"/>
      <c r="H55" s="66"/>
      <c r="K55" s="66"/>
      <c r="P55" s="66"/>
      <c r="U55" s="66"/>
      <c r="Z55" s="66"/>
    </row>
    <row r="56" spans="4:26" ht="18" customHeight="1" x14ac:dyDescent="0.3">
      <c r="D56" s="30"/>
      <c r="G56" s="66"/>
      <c r="H56" s="66"/>
      <c r="K56" s="66"/>
      <c r="P56" s="66"/>
      <c r="U56" s="66"/>
      <c r="Z56" s="66"/>
    </row>
    <row r="57" spans="4:26" ht="18" customHeight="1" x14ac:dyDescent="0.3">
      <c r="D57" s="30"/>
      <c r="G57" s="66"/>
      <c r="H57" s="66"/>
      <c r="K57" s="66"/>
      <c r="P57" s="66"/>
      <c r="U57" s="66"/>
      <c r="Z57" s="66"/>
    </row>
    <row r="58" spans="4:26" ht="18" customHeight="1" x14ac:dyDescent="0.3">
      <c r="D58" s="30"/>
      <c r="G58" s="66"/>
      <c r="H58" s="66"/>
      <c r="K58" s="66"/>
      <c r="P58" s="66"/>
      <c r="U58" s="66"/>
      <c r="Z58" s="66"/>
    </row>
    <row r="59" spans="4:26" ht="18" customHeight="1" x14ac:dyDescent="0.3">
      <c r="D59" s="30"/>
    </row>
    <row r="60" spans="4:26" ht="18" customHeight="1" x14ac:dyDescent="0.3">
      <c r="D60" s="30"/>
    </row>
    <row r="61" spans="4:26" ht="18" customHeight="1" x14ac:dyDescent="0.3">
      <c r="D61" s="30"/>
    </row>
    <row r="62" spans="4:26" ht="18" customHeight="1" x14ac:dyDescent="0.3">
      <c r="D62" s="30"/>
    </row>
    <row r="63" spans="4:26" ht="18" customHeight="1" x14ac:dyDescent="0.3">
      <c r="D63" s="30"/>
    </row>
    <row r="64" spans="4:26" ht="18" customHeight="1" x14ac:dyDescent="0.3">
      <c r="D64" s="30"/>
    </row>
    <row r="65" spans="4:4" ht="18" customHeight="1" x14ac:dyDescent="0.3">
      <c r="D65" s="30"/>
    </row>
    <row r="66" spans="4:4" ht="18" customHeight="1" x14ac:dyDescent="0.3">
      <c r="D66" s="30"/>
    </row>
    <row r="67" spans="4:4" ht="18" customHeight="1" x14ac:dyDescent="0.3">
      <c r="D67" s="30"/>
    </row>
    <row r="68" spans="4:4" ht="18" customHeight="1" x14ac:dyDescent="0.3">
      <c r="D68" s="30"/>
    </row>
    <row r="69" spans="4:4" ht="18" customHeight="1" x14ac:dyDescent="0.3">
      <c r="D69" s="30"/>
    </row>
    <row r="70" spans="4:4" ht="18" customHeight="1" x14ac:dyDescent="0.3">
      <c r="D70" s="30"/>
    </row>
    <row r="71" spans="4:4" ht="18" customHeight="1" x14ac:dyDescent="0.3"/>
    <row r="72" spans="4:4" ht="18" customHeight="1" x14ac:dyDescent="0.3"/>
    <row r="73" spans="4:4" ht="18" customHeight="1" x14ac:dyDescent="0.3"/>
    <row r="74" spans="4:4" ht="18" customHeight="1" x14ac:dyDescent="0.3"/>
    <row r="75" spans="4:4" ht="18" customHeight="1" x14ac:dyDescent="0.3"/>
    <row r="76" spans="4:4" ht="18" customHeight="1" x14ac:dyDescent="0.3"/>
    <row r="77" spans="4:4" ht="18" customHeight="1" x14ac:dyDescent="0.3"/>
    <row r="78" spans="4:4" ht="18" customHeight="1" x14ac:dyDescent="0.3"/>
    <row r="79" spans="4:4" ht="18" customHeight="1" x14ac:dyDescent="0.3"/>
  </sheetData>
  <mergeCells count="5">
    <mergeCell ref="B1:F1"/>
    <mergeCell ref="G1:K1"/>
    <mergeCell ref="L1:P1"/>
    <mergeCell ref="Q1:U1"/>
    <mergeCell ref="V1:Z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1090-F376-49B8-95DE-A27DA004F45F}">
  <dimension ref="A1:T74"/>
  <sheetViews>
    <sheetView workbookViewId="0">
      <pane ySplit="1" topLeftCell="A41" activePane="bottomLeft" state="frozen"/>
      <selection pane="bottomLeft" activeCell="J51" sqref="J51"/>
    </sheetView>
  </sheetViews>
  <sheetFormatPr defaultRowHeight="12.6" x14ac:dyDescent="0.3"/>
  <cols>
    <col min="1" max="1" width="38.21875" style="16" customWidth="1"/>
    <col min="2" max="2" width="7.21875" style="348" customWidth="1"/>
    <col min="3" max="3" width="3.77734375" style="16" customWidth="1"/>
    <col min="4" max="4" width="11.33203125" style="16" customWidth="1"/>
    <col min="5" max="5" width="9.77734375" style="16" customWidth="1"/>
    <col min="6" max="6" width="11.33203125" style="16" customWidth="1"/>
    <col min="7" max="7" width="7.109375" style="16" customWidth="1"/>
    <col min="8" max="8" width="11.33203125" style="16" customWidth="1"/>
    <col min="9" max="9" width="7.109375" style="16" customWidth="1"/>
    <col min="10" max="10" width="11.33203125" style="16" customWidth="1"/>
    <col min="11" max="11" width="7.109375" style="16" customWidth="1"/>
    <col min="12" max="12" width="11.33203125" style="16" customWidth="1"/>
    <col min="13" max="13" width="7.109375" style="16" customWidth="1"/>
    <col min="14" max="16384" width="8.88671875" style="16"/>
  </cols>
  <sheetData>
    <row r="1" spans="1:20" s="345" customFormat="1" ht="33" customHeight="1" x14ac:dyDescent="0.3">
      <c r="A1" s="343" t="s">
        <v>45</v>
      </c>
      <c r="B1" s="341" t="s">
        <v>63</v>
      </c>
      <c r="C1" s="343"/>
      <c r="D1" s="344" t="s">
        <v>38</v>
      </c>
      <c r="E1" s="345" t="s">
        <v>46</v>
      </c>
      <c r="F1" s="344" t="s">
        <v>39</v>
      </c>
      <c r="G1" s="345" t="s">
        <v>46</v>
      </c>
      <c r="H1" s="344" t="s">
        <v>40</v>
      </c>
      <c r="I1" s="346" t="s">
        <v>46</v>
      </c>
      <c r="J1" s="344" t="s">
        <v>141</v>
      </c>
      <c r="K1" s="346" t="s">
        <v>46</v>
      </c>
      <c r="L1" s="344" t="s">
        <v>145</v>
      </c>
      <c r="M1" s="346" t="s">
        <v>46</v>
      </c>
      <c r="N1" s="347"/>
      <c r="O1" s="347"/>
      <c r="P1" s="347"/>
      <c r="Q1" s="347"/>
      <c r="R1" s="347"/>
      <c r="S1" s="347"/>
      <c r="T1" s="347"/>
    </row>
    <row r="3" spans="1:20" ht="24.6" customHeight="1" x14ac:dyDescent="0.3">
      <c r="A3" s="349" t="s">
        <v>21</v>
      </c>
      <c r="B3" s="350"/>
      <c r="C3" s="351"/>
      <c r="D3" s="352" t="s">
        <v>2</v>
      </c>
      <c r="E3" s="93"/>
      <c r="F3" s="93" t="s">
        <v>3</v>
      </c>
      <c r="G3" s="93"/>
      <c r="H3" s="93" t="s">
        <v>4</v>
      </c>
      <c r="I3" s="80"/>
      <c r="J3" s="93" t="s">
        <v>146</v>
      </c>
      <c r="K3" s="80"/>
      <c r="L3" s="93" t="s">
        <v>147</v>
      </c>
      <c r="M3" s="80"/>
    </row>
    <row r="4" spans="1:20" ht="18" customHeight="1" x14ac:dyDescent="0.3">
      <c r="A4" s="353" t="str">
        <f>'Sales 5yrs'!A4</f>
        <v>Advanced membership</v>
      </c>
      <c r="B4" s="354"/>
      <c r="C4" s="183"/>
      <c r="D4" s="355">
        <f>'Sales 5yrs'!E4</f>
        <v>47424.864686339672</v>
      </c>
      <c r="E4" s="355"/>
      <c r="F4" s="355">
        <f>'Sales 5yrs'!J4</f>
        <v>116605.06798564094</v>
      </c>
      <c r="G4" s="355"/>
      <c r="H4" s="355">
        <f>'Sales 5yrs'!O4</f>
        <v>237372.22728537864</v>
      </c>
      <c r="I4" s="303"/>
      <c r="J4" s="355">
        <f>'Sales 5yrs'!T4</f>
        <v>425183.91254389921</v>
      </c>
      <c r="K4" s="303"/>
      <c r="L4" s="355">
        <f>'Sales 5yrs'!Y4</f>
        <v>692452.87372385676</v>
      </c>
      <c r="M4" s="303"/>
    </row>
    <row r="5" spans="1:20" ht="18" customHeight="1" x14ac:dyDescent="0.3">
      <c r="A5" s="353" t="str">
        <f>'Sales 5yrs'!A5</f>
        <v>Premium membership</v>
      </c>
      <c r="B5" s="354"/>
      <c r="C5" s="183"/>
      <c r="D5" s="355">
        <f>'Sales 5yrs'!E5</f>
        <v>17267.711521571986</v>
      </c>
      <c r="E5" s="355"/>
      <c r="F5" s="355">
        <f>'Sales 5yrs'!J5</f>
        <v>59959.238948041348</v>
      </c>
      <c r="G5" s="355"/>
      <c r="H5" s="355">
        <f>'Sales 5yrs'!O5</f>
        <v>157057.9769748523</v>
      </c>
      <c r="I5" s="303"/>
      <c r="J5" s="355">
        <f>'Sales 5yrs'!T5</f>
        <v>331974.16238248901</v>
      </c>
      <c r="K5" s="303"/>
      <c r="L5" s="355">
        <f>'Sales 5yrs'!Y5</f>
        <v>607771.75466906733</v>
      </c>
      <c r="M5" s="303"/>
    </row>
    <row r="6" spans="1:20" ht="18" customHeight="1" x14ac:dyDescent="0.3">
      <c r="A6" s="353" t="str">
        <f>'Sales 5yrs'!A6</f>
        <v>ID verifications</v>
      </c>
      <c r="B6" s="354"/>
      <c r="C6" s="183"/>
      <c r="D6" s="699">
        <f>'Sales 5yrs'!E6</f>
        <v>5543.0999999999995</v>
      </c>
      <c r="E6" s="355"/>
      <c r="F6" s="699">
        <f>'Sales 5yrs'!J6</f>
        <v>4906.3851670383792</v>
      </c>
      <c r="G6" s="355"/>
      <c r="H6" s="699">
        <f>'Sales 5yrs'!O6</f>
        <v>7351.0076915525642</v>
      </c>
      <c r="I6" s="303"/>
      <c r="J6" s="699">
        <f>'Sales 5yrs'!T6</f>
        <v>10039.642632883946</v>
      </c>
      <c r="K6" s="303"/>
      <c r="L6" s="699">
        <f>'Sales 5yrs'!Y6</f>
        <v>12418.629707846481</v>
      </c>
      <c r="M6" s="303"/>
    </row>
    <row r="7" spans="1:20" s="77" customFormat="1" ht="28.2" customHeight="1" x14ac:dyDescent="0.3">
      <c r="A7" s="293" t="s">
        <v>47</v>
      </c>
      <c r="B7" s="356"/>
      <c r="C7" s="293"/>
      <c r="D7" s="357">
        <f>SUM(D4:D6)</f>
        <v>70235.67620791166</v>
      </c>
      <c r="E7" s="357"/>
      <c r="F7" s="357">
        <f>SUM(F4:F6)</f>
        <v>181470.69210072068</v>
      </c>
      <c r="G7" s="357"/>
      <c r="H7" s="357">
        <f>SUM(H4:H6)</f>
        <v>401781.21195178351</v>
      </c>
      <c r="I7" s="307"/>
      <c r="J7" s="357">
        <f>SUM(J4:J6)</f>
        <v>767197.71755927219</v>
      </c>
      <c r="K7" s="307"/>
      <c r="L7" s="357">
        <f>SUM(L4:L6)</f>
        <v>1312643.2581007706</v>
      </c>
      <c r="M7" s="307"/>
      <c r="N7" s="745"/>
    </row>
    <row r="8" spans="1:20" ht="18" customHeight="1" x14ac:dyDescent="0.3">
      <c r="A8" s="292" t="s">
        <v>42</v>
      </c>
      <c r="B8" s="358"/>
      <c r="C8" s="292"/>
      <c r="D8" s="359">
        <f>-'Expenses 5yrs'!C34</f>
        <v>-335.4</v>
      </c>
      <c r="E8" s="360"/>
      <c r="F8" s="359">
        <f>-'Expenses 5yrs'!D34</f>
        <v>-528.255</v>
      </c>
      <c r="G8" s="360"/>
      <c r="H8" s="359">
        <f>-'Expenses 5yrs'!E34</f>
        <v>-832.00162499999999</v>
      </c>
      <c r="I8" s="361"/>
      <c r="J8" s="359">
        <f>-'Expenses 5yrs'!F34</f>
        <v>-1135.6822181250002</v>
      </c>
      <c r="K8" s="361"/>
      <c r="L8" s="359">
        <f>-'Expenses 5yrs'!G34</f>
        <v>-1371.3362783859377</v>
      </c>
      <c r="M8" s="361"/>
      <c r="N8" s="30"/>
    </row>
    <row r="9" spans="1:20" s="79" customFormat="1" ht="22.8" customHeight="1" x14ac:dyDescent="0.3">
      <c r="A9" s="362" t="s">
        <v>48</v>
      </c>
      <c r="B9" s="419">
        <f>B7+B8</f>
        <v>0</v>
      </c>
      <c r="C9" s="160"/>
      <c r="D9" s="364">
        <f>D7+D8</f>
        <v>69900.276207911666</v>
      </c>
      <c r="E9" s="365"/>
      <c r="F9" s="364">
        <f>F7+F8</f>
        <v>180942.43710072068</v>
      </c>
      <c r="G9" s="366"/>
      <c r="H9" s="364">
        <f>H7+H8</f>
        <v>400949.21032678353</v>
      </c>
      <c r="I9" s="78"/>
      <c r="J9" s="364">
        <f>J7+J8</f>
        <v>766062.03534114722</v>
      </c>
      <c r="K9" s="78"/>
      <c r="L9" s="364">
        <f>L7+L8</f>
        <v>1311271.9218223847</v>
      </c>
      <c r="M9" s="78"/>
      <c r="N9" s="746"/>
    </row>
    <row r="10" spans="1:20" s="77" customFormat="1" ht="16.8" customHeight="1" x14ac:dyDescent="0.3">
      <c r="B10" s="208"/>
      <c r="D10" s="299"/>
      <c r="E10" s="299"/>
      <c r="F10" s="299"/>
      <c r="G10" s="299"/>
      <c r="H10" s="299"/>
      <c r="J10" s="299"/>
      <c r="L10" s="299"/>
    </row>
    <row r="11" spans="1:20" ht="18" customHeight="1" x14ac:dyDescent="0.3">
      <c r="A11" s="160" t="s">
        <v>298</v>
      </c>
      <c r="B11" s="363"/>
      <c r="C11" s="160"/>
      <c r="D11" s="367" t="s">
        <v>2</v>
      </c>
      <c r="E11" s="367"/>
      <c r="F11" s="367" t="s">
        <v>3</v>
      </c>
      <c r="G11" s="367"/>
      <c r="H11" s="367" t="s">
        <v>4</v>
      </c>
      <c r="I11" s="80"/>
      <c r="J11" s="93" t="s">
        <v>146</v>
      </c>
      <c r="K11" s="80"/>
      <c r="L11" s="93" t="s">
        <v>147</v>
      </c>
      <c r="M11" s="80"/>
    </row>
    <row r="12" spans="1:20" ht="18" customHeight="1" x14ac:dyDescent="0.3">
      <c r="A12" s="16" t="str">
        <f>'Expenses 5yrs'!A29</f>
        <v>ID verifications (@€2.50 x approved verification)</v>
      </c>
      <c r="D12" s="355">
        <f>-'Expenses 5yrs'!C29</f>
        <v>-1334.7063735074998</v>
      </c>
      <c r="E12" s="355"/>
      <c r="F12" s="355">
        <f>-'Expenses 5yrs'!D29</f>
        <v>-1125.1368803134544</v>
      </c>
      <c r="G12" s="355"/>
      <c r="H12" s="355">
        <f>-'Expenses 5yrs'!E29</f>
        <v>-1605.4666918525802</v>
      </c>
      <c r="I12" s="368"/>
      <c r="J12" s="355">
        <f>-'Expenses 5yrs'!F29</f>
        <v>-2088.2542679888024</v>
      </c>
      <c r="K12" s="368"/>
      <c r="L12" s="355">
        <f>-'Expenses 5yrs'!G29</f>
        <v>-2460.0815404895279</v>
      </c>
      <c r="M12" s="368"/>
    </row>
    <row r="13" spans="1:20" ht="18" customHeight="1" x14ac:dyDescent="0.3">
      <c r="A13" s="16" t="str">
        <f>'Expenses 5yrs'!A30</f>
        <v>Stripe fees (payment gateway)</v>
      </c>
      <c r="D13" s="699">
        <f>-'Expenses 5yrs'!C30</f>
        <v>-2623.1312702540563</v>
      </c>
      <c r="E13" s="355"/>
      <c r="F13" s="699">
        <f>-'Expenses 5yrs'!D30</f>
        <v>-2728.0565210642185</v>
      </c>
      <c r="G13" s="355"/>
      <c r="H13" s="699">
        <f>-'Expenses 5yrs'!E30</f>
        <v>-2837.1787819067872</v>
      </c>
      <c r="I13" s="303"/>
      <c r="J13" s="699">
        <f>-'Expenses 5yrs'!F30</f>
        <v>-2950.6659331830588</v>
      </c>
      <c r="K13" s="303"/>
      <c r="L13" s="699">
        <f>-'Expenses 5yrs'!G30</f>
        <v>-3068.6925705103813</v>
      </c>
      <c r="M13" s="303"/>
    </row>
    <row r="14" spans="1:20" s="77" customFormat="1" ht="27.6" customHeight="1" x14ac:dyDescent="0.3">
      <c r="A14" s="313" t="s">
        <v>105</v>
      </c>
      <c r="B14" s="357">
        <f>SUM(B12:B13)</f>
        <v>0</v>
      </c>
      <c r="C14" s="313"/>
      <c r="D14" s="357">
        <f>SUM(D12:D13)</f>
        <v>-3957.8376437615561</v>
      </c>
      <c r="E14" s="357"/>
      <c r="F14" s="357">
        <f>SUM(F12:F13)</f>
        <v>-3853.1934013776727</v>
      </c>
      <c r="G14" s="357"/>
      <c r="H14" s="357">
        <f>SUM(H12:H13)</f>
        <v>-4442.6454737593676</v>
      </c>
      <c r="I14" s="307"/>
      <c r="J14" s="357">
        <f>SUM(J12:J13)</f>
        <v>-5038.9202011718608</v>
      </c>
      <c r="K14" s="307"/>
      <c r="L14" s="357">
        <f>SUM(L12:L13)</f>
        <v>-5528.7741109999097</v>
      </c>
      <c r="M14" s="307"/>
    </row>
    <row r="15" spans="1:20" ht="18" customHeight="1" x14ac:dyDescent="0.3">
      <c r="A15" s="91"/>
      <c r="B15" s="369"/>
      <c r="C15" s="91"/>
      <c r="D15" s="340"/>
      <c r="E15" s="340"/>
      <c r="F15" s="340"/>
      <c r="G15" s="340"/>
      <c r="H15" s="340"/>
      <c r="I15" s="91"/>
      <c r="J15" s="340"/>
      <c r="K15" s="91"/>
      <c r="L15" s="340"/>
      <c r="M15" s="91"/>
    </row>
    <row r="16" spans="1:20" s="179" customFormat="1" ht="27" customHeight="1" x14ac:dyDescent="0.3">
      <c r="A16" s="370" t="s">
        <v>49</v>
      </c>
      <c r="B16" s="371">
        <f>B9+B14</f>
        <v>0</v>
      </c>
      <c r="C16" s="160"/>
      <c r="D16" s="372">
        <f>D9+D14</f>
        <v>65942.438564150114</v>
      </c>
      <c r="E16" s="373">
        <f>D16/D9</f>
        <v>0.94337879821834547</v>
      </c>
      <c r="F16" s="372">
        <f>F9+F14</f>
        <v>177089.243699343</v>
      </c>
      <c r="G16" s="373">
        <f>F16/F9</f>
        <v>0.97870486623747188</v>
      </c>
      <c r="H16" s="372">
        <f>H9+H14</f>
        <v>396506.56485302415</v>
      </c>
      <c r="I16" s="373">
        <f>H16/H9</f>
        <v>0.98891968020054577</v>
      </c>
      <c r="J16" s="372">
        <f>J9+J14</f>
        <v>761023.11513997533</v>
      </c>
      <c r="K16" s="373">
        <f>J16/J9</f>
        <v>0.99342230789582475</v>
      </c>
      <c r="L16" s="372">
        <f>L9+L14</f>
        <v>1305743.1477113848</v>
      </c>
      <c r="M16" s="373">
        <f>L16/L9</f>
        <v>0.99578365553399784</v>
      </c>
    </row>
    <row r="17" spans="1:13" ht="18" customHeight="1" x14ac:dyDescent="0.3">
      <c r="A17" s="91"/>
      <c r="B17" s="369"/>
      <c r="C17" s="91"/>
      <c r="D17" s="340"/>
      <c r="E17" s="340"/>
      <c r="F17" s="340"/>
      <c r="G17" s="340"/>
      <c r="H17" s="340"/>
      <c r="I17" s="91"/>
      <c r="J17" s="340"/>
      <c r="K17" s="91"/>
      <c r="L17" s="340"/>
      <c r="M17" s="91"/>
    </row>
    <row r="18" spans="1:13" ht="18" customHeight="1" x14ac:dyDescent="0.3">
      <c r="A18" s="374" t="s">
        <v>178</v>
      </c>
      <c r="B18" s="375" t="s">
        <v>63</v>
      </c>
      <c r="C18" s="374"/>
      <c r="D18" s="367" t="s">
        <v>2</v>
      </c>
      <c r="E18" s="376"/>
      <c r="F18" s="367" t="s">
        <v>3</v>
      </c>
      <c r="G18" s="377"/>
      <c r="H18" s="367" t="s">
        <v>4</v>
      </c>
      <c r="I18" s="378"/>
      <c r="J18" s="93" t="s">
        <v>146</v>
      </c>
      <c r="K18" s="378"/>
      <c r="L18" s="93" t="s">
        <v>147</v>
      </c>
      <c r="M18" s="378"/>
    </row>
    <row r="19" spans="1:13" ht="18" customHeight="1" x14ac:dyDescent="0.3">
      <c r="A19" s="15" t="s">
        <v>199</v>
      </c>
      <c r="B19" s="379">
        <f>-'Expenses 5yrs'!B32</f>
        <v>-12638.788</v>
      </c>
      <c r="C19" s="311"/>
      <c r="D19" s="97"/>
      <c r="E19" s="299"/>
      <c r="F19" s="97"/>
      <c r="G19" s="299"/>
      <c r="H19" s="97"/>
      <c r="I19" s="361"/>
      <c r="J19" s="380"/>
      <c r="K19" s="361"/>
      <c r="L19" s="380"/>
      <c r="M19" s="361"/>
    </row>
    <row r="20" spans="1:13" ht="18" customHeight="1" x14ac:dyDescent="0.3">
      <c r="A20" s="353" t="str">
        <f>'Expenses 5yrs'!A20</f>
        <v>Registered office</v>
      </c>
      <c r="B20" s="381"/>
      <c r="C20" s="353"/>
      <c r="D20" s="82">
        <f>'Expenses 5yrs'!C20*-1</f>
        <v>-216</v>
      </c>
      <c r="E20" s="209"/>
      <c r="F20" s="82">
        <f>'Expenses 5yrs'!D20*-1</f>
        <v>-224.64000000000001</v>
      </c>
      <c r="G20" s="209"/>
      <c r="H20" s="82">
        <f>'Expenses 5yrs'!E20*-1</f>
        <v>-233.62560000000002</v>
      </c>
      <c r="I20" s="383"/>
      <c r="J20" s="82">
        <f>'Expenses 5yrs'!F20*-1</f>
        <v>-242.97062400000002</v>
      </c>
      <c r="K20" s="383"/>
      <c r="L20" s="82">
        <f>'Expenses 5yrs'!G20*-1</f>
        <v>-252.68944896000002</v>
      </c>
      <c r="M20" s="383"/>
    </row>
    <row r="21" spans="1:13" ht="18" customHeight="1" x14ac:dyDescent="0.3">
      <c r="A21" s="80" t="s">
        <v>374</v>
      </c>
      <c r="B21" s="381"/>
      <c r="C21" s="353"/>
      <c r="D21" s="382">
        <f>-'Expenses 5yrs'!C21</f>
        <v>-30000</v>
      </c>
      <c r="E21" s="209"/>
      <c r="F21" s="382">
        <f>-'Expenses 5yrs'!D21</f>
        <v>-31500</v>
      </c>
      <c r="G21" s="209"/>
      <c r="H21" s="382">
        <f>-'Expenses 5yrs'!E21</f>
        <v>-33075</v>
      </c>
      <c r="I21" s="383"/>
      <c r="J21" s="382">
        <f>-'Expenses 5yrs'!F21</f>
        <v>-34728.75</v>
      </c>
      <c r="K21" s="383"/>
      <c r="L21" s="382">
        <f>-'Expenses 5yrs'!G21</f>
        <v>-36465.1875</v>
      </c>
      <c r="M21" s="383"/>
    </row>
    <row r="22" spans="1:13" ht="18" customHeight="1" x14ac:dyDescent="0.3">
      <c r="A22" s="80" t="s">
        <v>375</v>
      </c>
      <c r="B22" s="381"/>
      <c r="C22" s="353"/>
      <c r="D22" s="382">
        <f>-'Expenses 5yrs'!C22</f>
        <v>-30000</v>
      </c>
      <c r="E22" s="209"/>
      <c r="F22" s="382">
        <f>-'Expenses 5yrs'!D22</f>
        <v>-31500</v>
      </c>
      <c r="G22" s="209"/>
      <c r="H22" s="382">
        <f>-'Expenses 5yrs'!E22</f>
        <v>-33075</v>
      </c>
      <c r="I22" s="383"/>
      <c r="J22" s="382">
        <f>-'Expenses 5yrs'!F22</f>
        <v>-34728.75</v>
      </c>
      <c r="K22" s="383"/>
      <c r="L22" s="382">
        <f>-'Expenses 5yrs'!G22</f>
        <v>-36465.1875</v>
      </c>
      <c r="M22" s="383"/>
    </row>
    <row r="23" spans="1:13" ht="18" customHeight="1" x14ac:dyDescent="0.3">
      <c r="A23" s="353" t="str">
        <f>'Expenses 5yrs'!A19</f>
        <v>Advertising (Facebook/Instagram ads)</v>
      </c>
      <c r="B23" s="381"/>
      <c r="C23" s="353"/>
      <c r="D23" s="382">
        <f>'Expenses 5yrs'!C19*-1</f>
        <v>-52000</v>
      </c>
      <c r="E23" s="209"/>
      <c r="F23" s="382">
        <f>'Expenses 5yrs'!D19*-1</f>
        <v>-40000</v>
      </c>
      <c r="G23" s="209"/>
      <c r="H23" s="382">
        <f>'Expenses 5yrs'!E19*-1</f>
        <v>-40000</v>
      </c>
      <c r="I23" s="368"/>
      <c r="J23" s="382">
        <f>'Expenses 5yrs'!F19*-1</f>
        <v>-40000</v>
      </c>
      <c r="K23" s="368"/>
      <c r="L23" s="382">
        <f>'Expenses 5yrs'!G19*-1</f>
        <v>-40000</v>
      </c>
      <c r="M23" s="368"/>
    </row>
    <row r="24" spans="1:13" ht="18" customHeight="1" x14ac:dyDescent="0.3">
      <c r="A24" s="353" t="str">
        <f>'Expenses 5yrs'!A25</f>
        <v>Domain name (OVH)</v>
      </c>
      <c r="B24" s="381"/>
      <c r="C24" s="353"/>
      <c r="D24" s="382">
        <f>-'Expenses 5yrs'!C25</f>
        <v>-10</v>
      </c>
      <c r="E24" s="278"/>
      <c r="F24" s="382">
        <f>'Expenses 5yrs'!D25*-1</f>
        <v>-10.4</v>
      </c>
      <c r="G24" s="278"/>
      <c r="H24" s="382">
        <f>'Expenses 5yrs'!E25*-1</f>
        <v>-10.816000000000001</v>
      </c>
      <c r="I24" s="303"/>
      <c r="J24" s="382">
        <f>'Expenses 5yrs'!F25*-1</f>
        <v>-11.248640000000002</v>
      </c>
      <c r="K24" s="303"/>
      <c r="L24" s="382">
        <f>'Expenses 5yrs'!G25*-1</f>
        <v>-11.698585600000003</v>
      </c>
      <c r="M24" s="303"/>
    </row>
    <row r="25" spans="1:13" ht="18" customHeight="1" x14ac:dyDescent="0.3">
      <c r="A25" s="353" t="str">
        <f>'Expenses 5yrs'!A26</f>
        <v>Hosting plan (Supabase: Pro plan)</v>
      </c>
      <c r="B25" s="381"/>
      <c r="C25" s="353"/>
      <c r="D25" s="382">
        <f>-'Expenses 5yrs'!C26</f>
        <v>-223.55356800000001</v>
      </c>
      <c r="E25" s="209"/>
      <c r="F25" s="382">
        <f>'Expenses 5yrs'!D26*-1</f>
        <v>-232.49571072000003</v>
      </c>
      <c r="G25" s="209"/>
      <c r="H25" s="382">
        <f>'Expenses 5yrs'!E26*-1</f>
        <v>-241.79553914880003</v>
      </c>
      <c r="I25" s="383"/>
      <c r="J25" s="382">
        <f>'Expenses 5yrs'!F26*-1</f>
        <v>-251.46736071475203</v>
      </c>
      <c r="K25" s="383"/>
      <c r="L25" s="382">
        <f>'Expenses 5yrs'!G26*-1</f>
        <v>-261.52605514334215</v>
      </c>
      <c r="M25" s="383"/>
    </row>
    <row r="26" spans="1:13" ht="18" customHeight="1" x14ac:dyDescent="0.3">
      <c r="A26" s="353" t="str">
        <f>'Expenses 5yrs'!A24</f>
        <v>Email marketing (Resend: Pro Transactional)</v>
      </c>
      <c r="B26" s="381"/>
      <c r="C26" s="353"/>
      <c r="D26" s="382">
        <f>'Expenses 5yrs'!C24*-1</f>
        <v>-178.84285440000002</v>
      </c>
      <c r="E26" s="209"/>
      <c r="F26" s="382">
        <f>'Expenses 5yrs'!D24*-1</f>
        <v>-185.99656857600002</v>
      </c>
      <c r="G26" s="209"/>
      <c r="H26" s="382">
        <f>'Expenses 5yrs'!E24*-1</f>
        <v>-193.43643131904003</v>
      </c>
      <c r="I26" s="383"/>
      <c r="J26" s="382">
        <f>'Expenses 5yrs'!F24*-1</f>
        <v>-201.17388857180163</v>
      </c>
      <c r="K26" s="383"/>
      <c r="L26" s="382">
        <f>'Expenses 5yrs'!G24*-1</f>
        <v>-209.2208441146737</v>
      </c>
      <c r="M26" s="383"/>
    </row>
    <row r="27" spans="1:13" ht="18" customHeight="1" x14ac:dyDescent="0.3">
      <c r="A27" s="353" t="str">
        <f>'Expenses 5yrs'!A23</f>
        <v>Email marketing (Resend: Pro Marketing)</v>
      </c>
      <c r="B27" s="381"/>
      <c r="C27" s="353"/>
      <c r="D27" s="382">
        <f>'Expenses 5yrs'!C23*-1</f>
        <v>-357.68570880000004</v>
      </c>
      <c r="E27" s="209"/>
      <c r="F27" s="382">
        <f>'Expenses 5yrs'!D23*-1</f>
        <v>-371.99313715200003</v>
      </c>
      <c r="G27" s="209"/>
      <c r="H27" s="382">
        <f>'Expenses 5yrs'!E23*-1</f>
        <v>-386.87286263808005</v>
      </c>
      <c r="I27" s="383"/>
      <c r="J27" s="382">
        <f>'Expenses 5yrs'!F23*-1</f>
        <v>-402.34777714360325</v>
      </c>
      <c r="K27" s="383"/>
      <c r="L27" s="382">
        <f>'Expenses 5yrs'!G23*-1</f>
        <v>-418.44168822934739</v>
      </c>
      <c r="M27" s="383"/>
    </row>
    <row r="28" spans="1:13" ht="18" customHeight="1" x14ac:dyDescent="0.3">
      <c r="A28" s="353" t="str">
        <f>'Expenses 5yrs'!A27</f>
        <v>ICO registration (annual)</v>
      </c>
      <c r="B28" s="381"/>
      <c r="C28" s="353"/>
      <c r="D28" s="382">
        <f>'Expenses 5yrs'!C27*-1</f>
        <v>-40</v>
      </c>
      <c r="E28" s="209"/>
      <c r="F28" s="382">
        <f>'Expenses 5yrs'!D27*-1</f>
        <v>-41.6</v>
      </c>
      <c r="G28" s="209"/>
      <c r="H28" s="382">
        <f>'Expenses 5yrs'!E27*-1</f>
        <v>-43.264000000000003</v>
      </c>
      <c r="I28" s="383"/>
      <c r="J28" s="382">
        <f>'Expenses 5yrs'!F27*-1</f>
        <v>-44.994560000000007</v>
      </c>
      <c r="K28" s="383"/>
      <c r="L28" s="382">
        <f>'Expenses 5yrs'!G27*-1</f>
        <v>-46.794342400000012</v>
      </c>
      <c r="M28" s="383"/>
    </row>
    <row r="29" spans="1:13" ht="18" customHeight="1" x14ac:dyDescent="0.3">
      <c r="A29" s="353" t="str">
        <f>'Expenses 5yrs'!A28</f>
        <v>Cyber insurance (rough estimate)</v>
      </c>
      <c r="B29" s="381"/>
      <c r="C29" s="353"/>
      <c r="D29" s="382">
        <f>'Expenses 5yrs'!C28*-1</f>
        <v>-600</v>
      </c>
      <c r="E29" s="209"/>
      <c r="F29" s="382">
        <f>'Expenses 5yrs'!D28*-1</f>
        <v>-624</v>
      </c>
      <c r="G29" s="209"/>
      <c r="H29" s="382">
        <f>'Expenses 5yrs'!E28*-1</f>
        <v>-648.96</v>
      </c>
      <c r="I29" s="383"/>
      <c r="J29" s="382">
        <f>'Expenses 5yrs'!F28*-1</f>
        <v>-674.91840000000002</v>
      </c>
      <c r="K29" s="383"/>
      <c r="L29" s="382">
        <f>'Expenses 5yrs'!G28*-1</f>
        <v>-701.91513600000008</v>
      </c>
      <c r="M29" s="383"/>
    </row>
    <row r="30" spans="1:13" ht="18" customHeight="1" x14ac:dyDescent="0.3">
      <c r="A30" s="353" t="str">
        <f>'Expenses 5yrs'!A31</f>
        <v>EEA &amp; CH representative GDPR</v>
      </c>
      <c r="B30" s="381"/>
      <c r="C30" s="353"/>
      <c r="D30" s="82">
        <f>'Expenses 5yrs'!C31*-1</f>
        <v>-216.75018249999999</v>
      </c>
      <c r="E30" s="209"/>
      <c r="F30" s="82">
        <f>'Expenses 5yrs'!D31*-1</f>
        <v>-225.4201898</v>
      </c>
      <c r="G30" s="209"/>
      <c r="H30" s="82">
        <f>'Expenses 5yrs'!E31*-1</f>
        <v>-234.43699739200002</v>
      </c>
      <c r="I30" s="383"/>
      <c r="J30" s="82">
        <f>'Expenses 5yrs'!F31*-1</f>
        <v>-243.81447728768003</v>
      </c>
      <c r="K30" s="383"/>
      <c r="L30" s="82">
        <f>'Expenses 5yrs'!G31*-1</f>
        <v>-253.56705637918725</v>
      </c>
      <c r="M30" s="383"/>
    </row>
    <row r="31" spans="1:13" ht="18" customHeight="1" x14ac:dyDescent="0.3">
      <c r="A31" s="353" t="str">
        <f>'Expenses 5yrs'!A37</f>
        <v xml:space="preserve">Accruals - Accountant's fees </v>
      </c>
      <c r="B31" s="381"/>
      <c r="C31" s="353"/>
      <c r="D31" s="82">
        <f>-'Expenses 5yrs'!C37</f>
        <v>-1512</v>
      </c>
      <c r="E31" s="209"/>
      <c r="F31" s="82">
        <f>-'Expenses 5yrs'!D37</f>
        <v>-1572.48</v>
      </c>
      <c r="G31" s="209"/>
      <c r="H31" s="82">
        <f>-'Expenses 5yrs'!E37</f>
        <v>-1635.3792000000001</v>
      </c>
      <c r="I31" s="383"/>
      <c r="J31" s="82">
        <f>-'Expenses 5yrs'!F37</f>
        <v>-1700.7943680000001</v>
      </c>
      <c r="K31" s="383"/>
      <c r="L31" s="82">
        <f>-'Expenses 5yrs'!G37</f>
        <v>-1768.8261427200002</v>
      </c>
      <c r="M31" s="383"/>
    </row>
    <row r="32" spans="1:13" s="77" customFormat="1" ht="24.6" customHeight="1" x14ac:dyDescent="0.3">
      <c r="A32" s="384" t="s">
        <v>50</v>
      </c>
      <c r="B32" s="385">
        <f>SUM(B19:B31)</f>
        <v>-12638.788</v>
      </c>
      <c r="C32" s="384"/>
      <c r="D32" s="94">
        <f>SUM(D20:D31)</f>
        <v>-115354.83231370001</v>
      </c>
      <c r="E32" s="386"/>
      <c r="F32" s="94">
        <f>SUM(F20:F31)</f>
        <v>-106489.025606248</v>
      </c>
      <c r="G32" s="387"/>
      <c r="H32" s="94">
        <f>SUM(H20:H31)</f>
        <v>-109778.58663049793</v>
      </c>
      <c r="I32" s="307"/>
      <c r="J32" s="94">
        <f>SUM(J20:J31)</f>
        <v>-113231.23009571787</v>
      </c>
      <c r="K32" s="307"/>
      <c r="L32" s="94">
        <f>SUM(L20:L31)</f>
        <v>-116855.05429954657</v>
      </c>
      <c r="M32" s="307"/>
    </row>
    <row r="33" spans="1:13" ht="18" customHeight="1" x14ac:dyDescent="0.3">
      <c r="A33" s="378"/>
      <c r="B33" s="388"/>
      <c r="C33" s="378"/>
      <c r="D33" s="389"/>
      <c r="E33" s="389"/>
      <c r="F33" s="389"/>
      <c r="G33" s="389"/>
      <c r="H33" s="389"/>
      <c r="I33" s="80"/>
      <c r="J33" s="389"/>
      <c r="K33" s="80"/>
      <c r="L33" s="389"/>
      <c r="M33" s="80"/>
    </row>
    <row r="34" spans="1:13" s="164" customFormat="1" ht="25.2" customHeight="1" x14ac:dyDescent="0.3">
      <c r="A34" s="161" t="s">
        <v>51</v>
      </c>
      <c r="B34" s="390">
        <f>B16+B32</f>
        <v>-12638.788</v>
      </c>
      <c r="C34" s="160"/>
      <c r="D34" s="391">
        <f>D16+D32</f>
        <v>-49412.393749549898</v>
      </c>
      <c r="E34" s="392">
        <f>D34/D9</f>
        <v>-0.70689840484431665</v>
      </c>
      <c r="F34" s="391">
        <f>F16+F32</f>
        <v>70600.218093094998</v>
      </c>
      <c r="G34" s="392">
        <f>F34/F9</f>
        <v>0.39018054152656156</v>
      </c>
      <c r="H34" s="391">
        <f>H16+H32</f>
        <v>286727.9782225262</v>
      </c>
      <c r="I34" s="392">
        <f>H34/H9</f>
        <v>0.71512294035654989</v>
      </c>
      <c r="J34" s="391">
        <f>J16+J32</f>
        <v>647791.88504425751</v>
      </c>
      <c r="K34" s="392">
        <f>J34/J9</f>
        <v>0.8456128291957179</v>
      </c>
      <c r="L34" s="391">
        <f>L16+L32</f>
        <v>1188888.0934118382</v>
      </c>
      <c r="M34" s="392">
        <f>L34/L9</f>
        <v>0.9066678494568392</v>
      </c>
    </row>
    <row r="35" spans="1:13" ht="18" customHeight="1" x14ac:dyDescent="0.3">
      <c r="A35" s="160"/>
      <c r="B35" s="363"/>
      <c r="C35" s="160"/>
      <c r="D35" s="389"/>
      <c r="E35" s="389"/>
      <c r="F35" s="389"/>
      <c r="G35" s="389"/>
      <c r="H35" s="389"/>
      <c r="I35" s="80"/>
      <c r="J35" s="389"/>
      <c r="K35" s="80"/>
      <c r="L35" s="389"/>
      <c r="M35" s="80"/>
    </row>
    <row r="36" spans="1:13" ht="18" customHeight="1" x14ac:dyDescent="0.3">
      <c r="A36" s="160" t="s">
        <v>57</v>
      </c>
      <c r="B36" s="363"/>
      <c r="C36" s="160"/>
      <c r="D36" s="367" t="s">
        <v>2</v>
      </c>
      <c r="E36" s="367"/>
      <c r="F36" s="367" t="s">
        <v>3</v>
      </c>
      <c r="G36" s="367"/>
      <c r="H36" s="367" t="s">
        <v>4</v>
      </c>
      <c r="I36" s="80"/>
      <c r="J36" s="93" t="s">
        <v>146</v>
      </c>
      <c r="K36" s="80"/>
      <c r="L36" s="93" t="s">
        <v>147</v>
      </c>
      <c r="M36" s="80"/>
    </row>
    <row r="37" spans="1:13" ht="18" customHeight="1" x14ac:dyDescent="0.3">
      <c r="A37" s="183" t="str">
        <f>'Amort&amp;depr'!A4</f>
        <v>Worldwide trademark (Wipo 4 classes) authority fees</v>
      </c>
      <c r="B37" s="354"/>
      <c r="C37" s="183"/>
      <c r="D37" s="355">
        <v>0</v>
      </c>
      <c r="E37" s="393"/>
      <c r="F37" s="355">
        <f>-'Amort&amp;depr'!D4</f>
        <v>-1600</v>
      </c>
      <c r="G37" s="393"/>
      <c r="H37" s="355">
        <f>-'Amort&amp;depr'!D4</f>
        <v>-1600</v>
      </c>
      <c r="I37" s="176"/>
      <c r="J37" s="355">
        <f>-'Amort&amp;depr'!D4</f>
        <v>-1600</v>
      </c>
      <c r="K37" s="176"/>
      <c r="L37" s="355">
        <f>-'Amort&amp;depr'!D4</f>
        <v>-1600</v>
      </c>
      <c r="M37" s="176"/>
    </row>
    <row r="38" spans="1:13" ht="18" customHeight="1" x14ac:dyDescent="0.3">
      <c r="A38" s="293" t="s">
        <v>299</v>
      </c>
      <c r="B38" s="356"/>
      <c r="C38" s="293"/>
      <c r="D38" s="357">
        <f>SUM(D37:D37)</f>
        <v>0</v>
      </c>
      <c r="E38" s="394"/>
      <c r="F38" s="357">
        <f>SUM(F37:F37)</f>
        <v>-1600</v>
      </c>
      <c r="G38" s="357"/>
      <c r="H38" s="357">
        <f>SUM(H37:H37)</f>
        <v>-1600</v>
      </c>
      <c r="I38" s="119"/>
      <c r="J38" s="357">
        <f>SUM(J37:J37)</f>
        <v>-1600</v>
      </c>
      <c r="K38" s="119"/>
      <c r="L38" s="357">
        <f>SUM(L37:L37)</f>
        <v>-1600</v>
      </c>
      <c r="M38" s="119"/>
    </row>
    <row r="39" spans="1:13" ht="18" customHeight="1" x14ac:dyDescent="0.3">
      <c r="A39" s="160"/>
      <c r="B39" s="363"/>
      <c r="C39" s="160"/>
      <c r="D39" s="389"/>
      <c r="E39" s="389"/>
      <c r="F39" s="389"/>
      <c r="G39" s="389"/>
      <c r="H39" s="389"/>
      <c r="I39" s="83"/>
      <c r="J39" s="389"/>
      <c r="K39" s="83"/>
      <c r="L39" s="389"/>
      <c r="M39" s="83"/>
    </row>
    <row r="40" spans="1:13" ht="18" customHeight="1" x14ac:dyDescent="0.3">
      <c r="A40" s="160" t="s">
        <v>52</v>
      </c>
      <c r="B40" s="363"/>
      <c r="C40" s="160"/>
      <c r="D40" s="367" t="s">
        <v>2</v>
      </c>
      <c r="E40" s="367"/>
      <c r="F40" s="367" t="s">
        <v>3</v>
      </c>
      <c r="G40" s="367"/>
      <c r="H40" s="367" t="s">
        <v>4</v>
      </c>
      <c r="I40" s="80"/>
      <c r="J40" s="93" t="s">
        <v>146</v>
      </c>
      <c r="K40" s="80"/>
      <c r="L40" s="93" t="s">
        <v>147</v>
      </c>
      <c r="M40" s="80"/>
    </row>
    <row r="41" spans="1:13" ht="18" customHeight="1" x14ac:dyDescent="0.3">
      <c r="A41" s="361" t="s">
        <v>52</v>
      </c>
      <c r="B41" s="395">
        <v>0</v>
      </c>
      <c r="C41" s="361"/>
      <c r="D41" s="359">
        <v>0</v>
      </c>
      <c r="E41" s="359"/>
      <c r="F41" s="359">
        <v>0</v>
      </c>
      <c r="G41" s="359"/>
      <c r="H41" s="359">
        <v>0</v>
      </c>
      <c r="I41" s="361"/>
      <c r="J41" s="359">
        <v>0</v>
      </c>
      <c r="K41" s="361"/>
      <c r="L41" s="359">
        <v>0</v>
      </c>
      <c r="M41" s="361"/>
    </row>
    <row r="42" spans="1:13" s="77" customFormat="1" ht="18" customHeight="1" x14ac:dyDescent="0.3">
      <c r="A42" s="160" t="s">
        <v>53</v>
      </c>
      <c r="B42" s="371">
        <f>B41</f>
        <v>0</v>
      </c>
      <c r="C42" s="160"/>
      <c r="D42" s="94">
        <f>SUM(D41:D41)</f>
        <v>0</v>
      </c>
      <c r="E42" s="94"/>
      <c r="F42" s="94">
        <f>SUM(F41:F41)</f>
        <v>0</v>
      </c>
      <c r="G42" s="94"/>
      <c r="H42" s="94">
        <f>SUM(H41:H41)</f>
        <v>0</v>
      </c>
      <c r="I42" s="396"/>
      <c r="J42" s="94">
        <f>SUM(J41:J41)</f>
        <v>0</v>
      </c>
      <c r="K42" s="396"/>
      <c r="L42" s="94">
        <f>SUM(L41:L41)</f>
        <v>0</v>
      </c>
      <c r="M42" s="396"/>
    </row>
    <row r="43" spans="1:13" ht="18" customHeight="1" x14ac:dyDescent="0.3">
      <c r="A43" s="374"/>
      <c r="B43" s="397"/>
      <c r="C43" s="374"/>
      <c r="D43" s="398"/>
      <c r="E43" s="398"/>
      <c r="F43" s="398"/>
      <c r="G43" s="398"/>
      <c r="H43" s="398"/>
      <c r="I43" s="378"/>
      <c r="J43" s="398"/>
      <c r="K43" s="378"/>
      <c r="L43" s="398"/>
      <c r="M43" s="378"/>
    </row>
    <row r="44" spans="1:13" s="747" customFormat="1" ht="27" customHeight="1" x14ac:dyDescent="0.3">
      <c r="A44" s="399" t="s">
        <v>54</v>
      </c>
      <c r="B44" s="390">
        <f>B34+B38+B42</f>
        <v>-12638.788</v>
      </c>
      <c r="C44" s="160"/>
      <c r="D44" s="400">
        <f>D34+D38+D42</f>
        <v>-49412.393749549898</v>
      </c>
      <c r="E44" s="401">
        <f>D44/D9</f>
        <v>-0.70689840484431665</v>
      </c>
      <c r="F44" s="400">
        <f>F34+F38+F42</f>
        <v>69000.218093094998</v>
      </c>
      <c r="G44" s="401">
        <f>F44/F9</f>
        <v>0.3813379503376888</v>
      </c>
      <c r="H44" s="400">
        <f>H34+H38+H42</f>
        <v>285127.9782225262</v>
      </c>
      <c r="I44" s="401">
        <f>H44/H9</f>
        <v>0.71113240998813754</v>
      </c>
      <c r="J44" s="400">
        <f>J34+J38+J42</f>
        <v>646191.88504425751</v>
      </c>
      <c r="K44" s="401">
        <f>J44/J9</f>
        <v>0.84352422549760164</v>
      </c>
      <c r="L44" s="400">
        <f>L34+L38+L42</f>
        <v>1187288.0934118382</v>
      </c>
      <c r="M44" s="401">
        <f>L44/L9</f>
        <v>0.90544766013273903</v>
      </c>
    </row>
    <row r="45" spans="1:13" ht="27" customHeight="1" x14ac:dyDescent="0.3">
      <c r="A45" s="91" t="s">
        <v>203</v>
      </c>
      <c r="B45" s="423">
        <v>0</v>
      </c>
      <c r="C45" s="91"/>
      <c r="D45" s="340">
        <f>IF(B44&lt;0,B44,0)</f>
        <v>-12638.788</v>
      </c>
      <c r="E45" s="421"/>
      <c r="F45" s="340">
        <f>IF(D44&lt;0,D44,0)</f>
        <v>-49412.393749549898</v>
      </c>
      <c r="G45" s="421"/>
      <c r="H45" s="340">
        <f>IF(F44&lt;0,F44,0)</f>
        <v>0</v>
      </c>
      <c r="I45" s="422"/>
      <c r="J45" s="340">
        <f>IF(H44&lt;0,H44,0)</f>
        <v>0</v>
      </c>
      <c r="K45" s="422"/>
      <c r="L45" s="340">
        <f>IF(J44&lt;0,J44,0)</f>
        <v>0</v>
      </c>
      <c r="M45" s="422"/>
    </row>
    <row r="46" spans="1:13" ht="27" customHeight="1" x14ac:dyDescent="0.3">
      <c r="A46" s="374" t="s">
        <v>204</v>
      </c>
      <c r="B46" s="420">
        <f>SUM(B44:B45)</f>
        <v>-12638.788</v>
      </c>
      <c r="C46" s="374"/>
      <c r="D46" s="420">
        <f>SUM(D44:D45)</f>
        <v>-62051.181749549898</v>
      </c>
      <c r="E46" s="421"/>
      <c r="F46" s="420">
        <f>SUM(F44:F45)</f>
        <v>19587.8243435451</v>
      </c>
      <c r="G46" s="421"/>
      <c r="H46" s="420">
        <f>SUM(H44:H45)</f>
        <v>285127.9782225262</v>
      </c>
      <c r="I46" s="422"/>
      <c r="J46" s="420">
        <f>SUM(J44:J45)</f>
        <v>646191.88504425751</v>
      </c>
      <c r="K46" s="422"/>
      <c r="L46" s="420">
        <f>SUM(L44:L45)</f>
        <v>1187288.0934118382</v>
      </c>
      <c r="M46" s="422"/>
    </row>
    <row r="47" spans="1:13" ht="18" customHeight="1" x14ac:dyDescent="0.3">
      <c r="A47" s="374"/>
      <c r="B47" s="397"/>
      <c r="C47" s="374"/>
      <c r="D47" s="398"/>
      <c r="E47" s="398"/>
      <c r="F47" s="398"/>
      <c r="G47" s="398"/>
      <c r="H47" s="398"/>
      <c r="I47" s="378"/>
      <c r="J47" s="398"/>
      <c r="K47" s="378"/>
      <c r="L47" s="398"/>
      <c r="M47" s="378"/>
    </row>
    <row r="48" spans="1:13" ht="18" customHeight="1" x14ac:dyDescent="0.3">
      <c r="A48" s="402" t="s">
        <v>55</v>
      </c>
      <c r="B48" s="418" t="s">
        <v>63</v>
      </c>
      <c r="C48" s="402"/>
      <c r="D48" s="312" t="s">
        <v>2</v>
      </c>
      <c r="E48" s="312"/>
      <c r="F48" s="312" t="s">
        <v>3</v>
      </c>
      <c r="G48" s="312"/>
      <c r="H48" s="312" t="s">
        <v>4</v>
      </c>
      <c r="I48" s="321"/>
      <c r="J48" s="93" t="s">
        <v>146</v>
      </c>
      <c r="K48" s="321"/>
      <c r="L48" s="93" t="s">
        <v>147</v>
      </c>
      <c r="M48" s="321"/>
    </row>
    <row r="49" spans="1:13" ht="25.2" customHeight="1" x14ac:dyDescent="0.3">
      <c r="A49" s="378" t="s">
        <v>122</v>
      </c>
      <c r="B49" s="81">
        <f>IF(B46&gt;0,-B44*0.19,0)</f>
        <v>0</v>
      </c>
      <c r="C49" s="378"/>
      <c r="D49" s="81">
        <f>IF(D46&gt;0,-D44*0.19,0)</f>
        <v>0</v>
      </c>
      <c r="E49" s="82"/>
      <c r="F49" s="81">
        <f>IF(F46&gt;0,-F44*0.19,0)</f>
        <v>-13110.041437688049</v>
      </c>
      <c r="G49" s="82"/>
      <c r="H49" s="81">
        <f>IF(H46&gt;0,-H44*0.19,0)</f>
        <v>-54174.315862279982</v>
      </c>
      <c r="I49" s="80"/>
      <c r="J49" s="81">
        <f>IF(J46&gt;0,-J44*0.19,0)</f>
        <v>-122776.45815840893</v>
      </c>
      <c r="K49" s="80"/>
      <c r="L49" s="81">
        <f>IF(L46&gt;0,-L44*0.19,0)</f>
        <v>-225584.73774824926</v>
      </c>
      <c r="M49" s="80"/>
    </row>
    <row r="50" spans="1:13" ht="18" customHeight="1" x14ac:dyDescent="0.3">
      <c r="A50" s="91"/>
      <c r="B50" s="369"/>
      <c r="C50" s="91"/>
      <c r="D50" s="398"/>
      <c r="E50" s="398"/>
      <c r="F50" s="398"/>
      <c r="G50" s="398"/>
      <c r="H50" s="398"/>
      <c r="I50" s="378"/>
      <c r="J50" s="398"/>
      <c r="K50" s="378"/>
      <c r="L50" s="398"/>
      <c r="M50" s="378"/>
    </row>
    <row r="51" spans="1:13" s="748" customFormat="1" ht="24.6" customHeight="1" x14ac:dyDescent="0.3">
      <c r="A51" s="403" t="s">
        <v>56</v>
      </c>
      <c r="B51" s="414">
        <f>B44+B49</f>
        <v>-12638.788</v>
      </c>
      <c r="C51" s="404"/>
      <c r="D51" s="405">
        <f>D44+D49</f>
        <v>-49412.393749549898</v>
      </c>
      <c r="E51" s="406">
        <f>D51/D9</f>
        <v>-0.70689840484431665</v>
      </c>
      <c r="F51" s="405">
        <f>F44+F49</f>
        <v>55890.176655406947</v>
      </c>
      <c r="G51" s="406">
        <f>F51/F9</f>
        <v>0.3088837397735279</v>
      </c>
      <c r="H51" s="405">
        <f>H44+H49</f>
        <v>230953.66236024624</v>
      </c>
      <c r="I51" s="406">
        <f>H51/H9</f>
        <v>0.57601725209039145</v>
      </c>
      <c r="J51" s="405">
        <f>J44+J49</f>
        <v>523415.42688584857</v>
      </c>
      <c r="K51" s="406">
        <f>J51/J9</f>
        <v>0.68325462265305725</v>
      </c>
      <c r="L51" s="405">
        <f>L44+L49</f>
        <v>961703.35566358897</v>
      </c>
      <c r="M51" s="406">
        <f>L51/L9</f>
        <v>0.73341260470751868</v>
      </c>
    </row>
    <row r="52" spans="1:13" ht="18" customHeight="1" x14ac:dyDescent="0.3">
      <c r="A52" s="77"/>
      <c r="B52" s="208"/>
      <c r="C52" s="77"/>
      <c r="D52" s="29"/>
      <c r="E52" s="29"/>
      <c r="F52" s="29"/>
      <c r="G52" s="29"/>
      <c r="H52" s="29"/>
      <c r="J52" s="29"/>
      <c r="L52" s="29"/>
    </row>
    <row r="53" spans="1:13" ht="18" customHeight="1" x14ac:dyDescent="0.3">
      <c r="D53" s="29"/>
      <c r="E53" s="29"/>
      <c r="F53" s="29"/>
      <c r="G53" s="29"/>
      <c r="H53" s="29"/>
      <c r="J53" s="29"/>
      <c r="L53" s="29"/>
    </row>
    <row r="54" spans="1:13" ht="18.600000000000001" customHeight="1" x14ac:dyDescent="0.3">
      <c r="A54" s="96"/>
      <c r="C54" s="96"/>
      <c r="D54" s="209"/>
      <c r="E54" s="209"/>
      <c r="F54" s="209"/>
      <c r="G54" s="209"/>
      <c r="H54" s="209"/>
      <c r="J54" s="209"/>
      <c r="L54" s="209"/>
    </row>
    <row r="55" spans="1:13" ht="25.2" x14ac:dyDescent="0.3">
      <c r="A55" s="396" t="s">
        <v>90</v>
      </c>
      <c r="B55" s="407"/>
      <c r="C55" s="396"/>
      <c r="D55" s="408" t="s">
        <v>2</v>
      </c>
      <c r="E55" s="409" t="s">
        <v>46</v>
      </c>
      <c r="F55" s="408" t="s">
        <v>3</v>
      </c>
      <c r="G55" s="409" t="s">
        <v>46</v>
      </c>
      <c r="H55" s="408" t="s">
        <v>4</v>
      </c>
      <c r="I55" s="409" t="s">
        <v>46</v>
      </c>
      <c r="J55" s="93" t="s">
        <v>146</v>
      </c>
      <c r="K55" s="409" t="s">
        <v>46</v>
      </c>
      <c r="L55" s="93" t="s">
        <v>147</v>
      </c>
      <c r="M55" s="409" t="s">
        <v>46</v>
      </c>
    </row>
    <row r="56" spans="1:13" s="348" customFormat="1" ht="21.6" customHeight="1" x14ac:dyDescent="0.3">
      <c r="A56" s="410" t="str">
        <f>A9</f>
        <v>Net revenue</v>
      </c>
      <c r="B56" s="410"/>
      <c r="C56" s="410"/>
      <c r="D56" s="81">
        <f>D9</f>
        <v>69900.276207911666</v>
      </c>
      <c r="E56" s="411"/>
      <c r="F56" s="81">
        <f>F9</f>
        <v>180942.43710072068</v>
      </c>
      <c r="G56" s="411"/>
      <c r="H56" s="81">
        <f>H9</f>
        <v>400949.21032678353</v>
      </c>
      <c r="I56" s="411"/>
      <c r="J56" s="81">
        <f>J9</f>
        <v>766062.03534114722</v>
      </c>
      <c r="K56" s="411"/>
      <c r="L56" s="81">
        <f>L9</f>
        <v>1311271.9218223847</v>
      </c>
      <c r="M56" s="411"/>
    </row>
    <row r="57" spans="1:13" s="348" customFormat="1" ht="21.6" customHeight="1" x14ac:dyDescent="0.3">
      <c r="A57" s="410" t="s">
        <v>49</v>
      </c>
      <c r="B57" s="410"/>
      <c r="C57" s="410"/>
      <c r="D57" s="81">
        <f t="shared" ref="D57:M57" si="0">D16</f>
        <v>65942.438564150114</v>
      </c>
      <c r="E57" s="411">
        <f t="shared" si="0"/>
        <v>0.94337879821834547</v>
      </c>
      <c r="F57" s="81">
        <f t="shared" si="0"/>
        <v>177089.243699343</v>
      </c>
      <c r="G57" s="411">
        <f t="shared" si="0"/>
        <v>0.97870486623747188</v>
      </c>
      <c r="H57" s="81">
        <f t="shared" si="0"/>
        <v>396506.56485302415</v>
      </c>
      <c r="I57" s="411">
        <f t="shared" si="0"/>
        <v>0.98891968020054577</v>
      </c>
      <c r="J57" s="81">
        <f t="shared" si="0"/>
        <v>761023.11513997533</v>
      </c>
      <c r="K57" s="411">
        <f t="shared" si="0"/>
        <v>0.99342230789582475</v>
      </c>
      <c r="L57" s="81">
        <f t="shared" si="0"/>
        <v>1305743.1477113848</v>
      </c>
      <c r="M57" s="411">
        <f t="shared" si="0"/>
        <v>0.99578365553399784</v>
      </c>
    </row>
    <row r="58" spans="1:13" s="348" customFormat="1" ht="21.6" customHeight="1" x14ac:dyDescent="0.3">
      <c r="A58" s="410" t="s">
        <v>51</v>
      </c>
      <c r="B58" s="410"/>
      <c r="C58" s="410"/>
      <c r="D58" s="81">
        <f t="shared" ref="D58:M58" si="1">D34</f>
        <v>-49412.393749549898</v>
      </c>
      <c r="E58" s="411">
        <f t="shared" si="1"/>
        <v>-0.70689840484431665</v>
      </c>
      <c r="F58" s="81">
        <f t="shared" si="1"/>
        <v>70600.218093094998</v>
      </c>
      <c r="G58" s="411">
        <f t="shared" si="1"/>
        <v>0.39018054152656156</v>
      </c>
      <c r="H58" s="81">
        <f t="shared" si="1"/>
        <v>286727.9782225262</v>
      </c>
      <c r="I58" s="411">
        <f t="shared" si="1"/>
        <v>0.71512294035654989</v>
      </c>
      <c r="J58" s="81">
        <f t="shared" si="1"/>
        <v>647791.88504425751</v>
      </c>
      <c r="K58" s="411">
        <f t="shared" si="1"/>
        <v>0.8456128291957179</v>
      </c>
      <c r="L58" s="81">
        <f t="shared" si="1"/>
        <v>1188888.0934118382</v>
      </c>
      <c r="M58" s="411">
        <f t="shared" si="1"/>
        <v>0.9066678494568392</v>
      </c>
    </row>
    <row r="59" spans="1:13" s="348" customFormat="1" ht="21.6" customHeight="1" x14ac:dyDescent="0.3">
      <c r="A59" s="410" t="s">
        <v>56</v>
      </c>
      <c r="B59" s="410"/>
      <c r="C59" s="410"/>
      <c r="D59" s="81">
        <f>D51</f>
        <v>-49412.393749549898</v>
      </c>
      <c r="E59" s="411">
        <f t="shared" ref="E59:I59" si="2">E51</f>
        <v>-0.70689840484431665</v>
      </c>
      <c r="F59" s="81">
        <f t="shared" si="2"/>
        <v>55890.176655406947</v>
      </c>
      <c r="G59" s="411">
        <f t="shared" si="2"/>
        <v>0.3088837397735279</v>
      </c>
      <c r="H59" s="81">
        <f t="shared" si="2"/>
        <v>230953.66236024624</v>
      </c>
      <c r="I59" s="411">
        <f t="shared" si="2"/>
        <v>0.57601725209039145</v>
      </c>
      <c r="J59" s="81">
        <f t="shared" ref="J59:K59" si="3">J51</f>
        <v>523415.42688584857</v>
      </c>
      <c r="K59" s="411">
        <f t="shared" si="3"/>
        <v>0.68325462265305725</v>
      </c>
      <c r="L59" s="81">
        <f t="shared" ref="L59:M59" si="4">L51</f>
        <v>961703.35566358897</v>
      </c>
      <c r="M59" s="411">
        <f t="shared" si="4"/>
        <v>0.73341260470751868</v>
      </c>
    </row>
    <row r="60" spans="1:13" s="348" customFormat="1" ht="18" customHeight="1" x14ac:dyDescent="0.3">
      <c r="D60" s="412"/>
      <c r="E60" s="413"/>
      <c r="F60" s="412"/>
      <c r="G60" s="413"/>
      <c r="H60" s="412"/>
      <c r="I60" s="413"/>
      <c r="J60" s="412"/>
      <c r="K60" s="413"/>
      <c r="L60" s="412"/>
      <c r="M60" s="413"/>
    </row>
    <row r="61" spans="1:13" s="348" customFormat="1" ht="16.8" customHeight="1" x14ac:dyDescent="0.3">
      <c r="D61" s="412"/>
      <c r="E61" s="413"/>
      <c r="F61" s="412"/>
      <c r="G61" s="413"/>
      <c r="H61" s="412"/>
      <c r="I61" s="413"/>
      <c r="J61" s="412"/>
      <c r="K61" s="413"/>
      <c r="L61" s="412"/>
      <c r="M61" s="413"/>
    </row>
    <row r="62" spans="1:13" s="348" customFormat="1" ht="21" customHeight="1" x14ac:dyDescent="0.3">
      <c r="A62" s="655" t="s">
        <v>306</v>
      </c>
      <c r="D62" s="344" t="s">
        <v>38</v>
      </c>
      <c r="E62" s="345"/>
      <c r="F62" s="344" t="s">
        <v>39</v>
      </c>
      <c r="G62" s="345"/>
      <c r="H62" s="344" t="s">
        <v>40</v>
      </c>
      <c r="I62" s="346"/>
      <c r="J62" s="344" t="s">
        <v>141</v>
      </c>
      <c r="K62" s="346"/>
      <c r="L62" s="344" t="s">
        <v>145</v>
      </c>
      <c r="M62" s="346"/>
    </row>
    <row r="63" spans="1:13" s="348" customFormat="1" ht="25.8" customHeight="1" x14ac:dyDescent="0.3">
      <c r="A63" s="29" t="s">
        <v>48</v>
      </c>
      <c r="D63" s="412">
        <f>D9</f>
        <v>69900.276207911666</v>
      </c>
      <c r="E63" s="412"/>
      <c r="F63" s="412">
        <f>F9</f>
        <v>180942.43710072068</v>
      </c>
      <c r="G63" s="412"/>
      <c r="H63" s="412">
        <f>H9</f>
        <v>400949.21032678353</v>
      </c>
      <c r="I63" s="412"/>
      <c r="J63" s="412">
        <f>J9</f>
        <v>766062.03534114722</v>
      </c>
      <c r="K63" s="412"/>
      <c r="L63" s="412">
        <f>L9</f>
        <v>1311271.9218223847</v>
      </c>
      <c r="M63" s="413"/>
    </row>
    <row r="64" spans="1:13" s="348" customFormat="1" ht="25.8" customHeight="1" x14ac:dyDescent="0.3">
      <c r="A64" s="29" t="s">
        <v>304</v>
      </c>
      <c r="D64" s="412">
        <f>-(D14+D23)</f>
        <v>55957.837643761559</v>
      </c>
      <c r="E64" s="412"/>
      <c r="F64" s="412">
        <f>-(F14+F23)</f>
        <v>43853.19340137767</v>
      </c>
      <c r="G64" s="412"/>
      <c r="H64" s="412">
        <f>-(H14+H23)</f>
        <v>44442.645473759367</v>
      </c>
      <c r="I64" s="412"/>
      <c r="J64" s="412">
        <f>-(J14+J23)</f>
        <v>45038.920201171859</v>
      </c>
      <c r="K64" s="412"/>
      <c r="L64" s="412">
        <f>-(L14+L23)</f>
        <v>45528.774110999911</v>
      </c>
      <c r="M64" s="413"/>
    </row>
    <row r="65" spans="1:13" s="348" customFormat="1" ht="25.8" customHeight="1" x14ac:dyDescent="0.3">
      <c r="A65" s="29" t="s">
        <v>307</v>
      </c>
      <c r="D65" s="412">
        <f>-(D32-D23+D38+D42)</f>
        <v>63354.832313700012</v>
      </c>
      <c r="E65" s="412"/>
      <c r="F65" s="412">
        <f>-(F32-F23+F38+F42)</f>
        <v>68089.025606248004</v>
      </c>
      <c r="G65" s="412"/>
      <c r="H65" s="412">
        <f>-(H32-H23+H38+H42)</f>
        <v>71378.586630497928</v>
      </c>
      <c r="I65" s="412"/>
      <c r="J65" s="412">
        <f>-(J32-J23+J38+J42)</f>
        <v>74831.230095717867</v>
      </c>
      <c r="K65" s="412"/>
      <c r="L65" s="412">
        <f>-(L32-L23+L38+L42)</f>
        <v>78455.054299546566</v>
      </c>
      <c r="M65" s="413"/>
    </row>
    <row r="66" spans="1:13" ht="25.8" customHeight="1" x14ac:dyDescent="0.3">
      <c r="A66" s="29" t="s">
        <v>308</v>
      </c>
      <c r="D66" s="95">
        <f>D63-D64</f>
        <v>13942.438564150107</v>
      </c>
      <c r="E66" s="95"/>
      <c r="F66" s="95">
        <f>F63-F64</f>
        <v>137089.243699343</v>
      </c>
      <c r="G66" s="95"/>
      <c r="H66" s="95">
        <f>H63-H64</f>
        <v>356506.56485302415</v>
      </c>
      <c r="I66" s="95"/>
      <c r="J66" s="95">
        <f>J63-J64</f>
        <v>721023.11513997533</v>
      </c>
      <c r="K66" s="95"/>
      <c r="L66" s="95">
        <f>L63-L64</f>
        <v>1265743.1477113848</v>
      </c>
    </row>
    <row r="67" spans="1:13" ht="25.8" customHeight="1" x14ac:dyDescent="0.3">
      <c r="A67" s="29" t="s">
        <v>312</v>
      </c>
      <c r="D67" s="520">
        <f>D66/D63</f>
        <v>0.19946185223474169</v>
      </c>
      <c r="E67" s="520"/>
      <c r="F67" s="520">
        <f>F66/F63</f>
        <v>0.7576400865156524</v>
      </c>
      <c r="G67" s="520"/>
      <c r="H67" s="520">
        <f>H66/H63</f>
        <v>0.88915642099023584</v>
      </c>
      <c r="I67" s="520"/>
      <c r="J67" s="520">
        <f>J66/J63</f>
        <v>0.94120721544291785</v>
      </c>
      <c r="K67" s="520"/>
      <c r="L67" s="520">
        <f>L66/L63</f>
        <v>0.96527892243149327</v>
      </c>
    </row>
    <row r="68" spans="1:13" ht="15.6" customHeight="1" x14ac:dyDescent="0.3">
      <c r="A68" s="29"/>
      <c r="D68" s="95"/>
      <c r="E68" s="95"/>
      <c r="F68" s="95"/>
      <c r="G68" s="95"/>
      <c r="H68" s="95"/>
      <c r="I68" s="95"/>
      <c r="J68" s="95"/>
      <c r="K68" s="95"/>
      <c r="L68" s="95"/>
    </row>
    <row r="69" spans="1:13" ht="22.8" customHeight="1" x14ac:dyDescent="0.3">
      <c r="A69" s="348" t="s">
        <v>305</v>
      </c>
      <c r="C69" s="96"/>
      <c r="D69" s="412"/>
      <c r="E69" s="413"/>
      <c r="F69" s="412"/>
      <c r="G69" s="413"/>
      <c r="I69" s="413"/>
      <c r="K69" s="413"/>
      <c r="M69" s="413"/>
    </row>
    <row r="70" spans="1:13" ht="13.2" customHeight="1" x14ac:dyDescent="0.3">
      <c r="D70" s="412"/>
      <c r="F70" s="412"/>
      <c r="G70" s="413"/>
      <c r="I70" s="413"/>
      <c r="K70" s="413"/>
      <c r="M70" s="413"/>
    </row>
    <row r="71" spans="1:13" ht="22.8" customHeight="1" x14ac:dyDescent="0.3">
      <c r="F71" s="412"/>
      <c r="G71" s="413"/>
    </row>
    <row r="72" spans="1:13" ht="16.8" customHeight="1" x14ac:dyDescent="0.3">
      <c r="D72" s="28"/>
      <c r="E72" s="28"/>
      <c r="F72" s="28"/>
      <c r="G72" s="28"/>
      <c r="H72" s="28"/>
      <c r="I72" s="28"/>
      <c r="J72" s="28"/>
      <c r="K72" s="28"/>
      <c r="L72" s="28"/>
      <c r="M72" s="28"/>
    </row>
    <row r="73" spans="1:13" ht="16.8" customHeight="1" x14ac:dyDescent="0.3"/>
    <row r="74" spans="1:13" ht="16.8" customHeight="1" x14ac:dyDescent="0.3"/>
  </sheetData>
  <pageMargins left="0.7" right="0.7" top="1.135" bottom="0.75" header="0.3" footer="0.3"/>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Founder expnt</vt:lpstr>
      <vt:lpstr>VAT 1st yr</vt:lpstr>
      <vt:lpstr>Computs fore costs</vt:lpstr>
      <vt:lpstr>Users 1st year</vt:lpstr>
      <vt:lpstr>Cash flow 1st yr</vt:lpstr>
      <vt:lpstr>Cash flow 5yrs</vt:lpstr>
      <vt:lpstr>Sales 1st yr</vt:lpstr>
      <vt:lpstr>Sales 5yrs</vt:lpstr>
      <vt:lpstr>P&amp;L</vt:lpstr>
      <vt:lpstr>Users next years</vt:lpstr>
      <vt:lpstr>Expenses 1st yr</vt:lpstr>
      <vt:lpstr>Ask</vt:lpstr>
      <vt:lpstr>Expenses 5yrs</vt:lpstr>
      <vt:lpstr>Computs</vt:lpstr>
      <vt:lpstr>Bal Sheet</vt:lpstr>
      <vt:lpstr>Invests</vt:lpstr>
      <vt:lpstr>Amort&amp;depr</vt:lpstr>
      <vt:lpstr>VAT next yrs</vt:lpstr>
      <vt:lpstr>Break-even</vt:lpstr>
      <vt:lpstr>Custmr metrics</vt:lpstr>
      <vt:lpstr>For pitch deck</vt:lpstr>
      <vt:lpstr>Ratios</vt:lpstr>
      <vt:lpstr>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 Bolasco</dc:creator>
  <cp:lastModifiedBy>Alessandro Bolasco</cp:lastModifiedBy>
  <cp:lastPrinted>2025-10-02T11:26:51Z</cp:lastPrinted>
  <dcterms:created xsi:type="dcterms:W3CDTF">2015-06-05T18:17:20Z</dcterms:created>
  <dcterms:modified xsi:type="dcterms:W3CDTF">2026-02-03T18:32:54Z</dcterms:modified>
</cp:coreProperties>
</file>